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Cécile\Desktop\FICHIER PRIX en cours\"/>
    </mc:Choice>
  </mc:AlternateContent>
  <xr:revisionPtr revIDLastSave="0" documentId="13_ncr:1_{81C526F4-1691-440F-97E6-775CA151D2ED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Instructions" sheetId="1" r:id="rId1"/>
    <sheet name="Définition SHADOW SOLAR EVO" sheetId="2" r:id="rId2"/>
    <sheet name="Traduction" sheetId="3" state="hidden" r:id="rId3"/>
    <sheet name="SAV" sheetId="4" state="hidden" r:id="rId4"/>
    <sheet name="Liste Module  Onduleur,.." sheetId="5" state="hidden" r:id="rId5"/>
    <sheet name="Info" sheetId="6" state="hidden" r:id="rId6"/>
    <sheet name="Catalogue" sheetId="7" state="hidden" r:id="rId7"/>
  </sheets>
  <externalReferences>
    <externalReference r:id="rId8"/>
  </externalReferences>
  <definedNames>
    <definedName name="_xlnm._FilterDatabase" localSheetId="1" hidden="1">'Définition SHADOW SOLAR EVO'!$A$65:$R$90</definedName>
    <definedName name="_xlnm._FilterDatabase" localSheetId="2" hidden="1">Traduction!$A$8:$F$285</definedName>
    <definedName name="Bioclimatique">INDIRECT(VLOOKUP(Catalogue!$K$58,Catalogue!$K$16:$L$57,2,FALSE))</definedName>
    <definedName name="configurations">#REF!</definedName>
    <definedName name="configurationsPaysage">#REF!</definedName>
    <definedName name="Dimensions">INDIRECT(VLOOKUP(Catalogue!$Q$13,Catalogue!$Q$11:$S$12,2,FALSE))</definedName>
    <definedName name="images">INDIRECT(VLOOKUP('Définition SHADOW SOLAR EVO'!$G$10,Catalogue!$C$4:$E$13,2,FALSE))</definedName>
    <definedName name="LED">INDIRECT(VLOOKUP(Catalogue!$D$88,Catalogue!$D$61:$G$87,2,FALSE))</definedName>
    <definedName name="lignes">INDIRECT(VLOOKUP(Catalogue!$E$58,Catalogue!$E$16:$G$57,2,FALSE))</definedName>
    <definedName name="onduleurs">#REF!</definedName>
    <definedName name="onduleursPaysage">#REF!</definedName>
    <definedName name="Pas">'[1]Nb crochet'!$BX$5</definedName>
    <definedName name="Port_a_faux_maxi">'[1]Nb crochet'!$BX$6</definedName>
    <definedName name="Screen">INDIRECT(VLOOKUP(Catalogue!$H$124,Catalogue!$D$92:$F$123,2,FALSE))</definedName>
    <definedName name="Z_16FE1FF2_BD92_4856_8ACC_875F5889A685_.wvu.PrintArea" localSheetId="0" hidden="1">Instructions!$B$2:$Q$59</definedName>
    <definedName name="Z_D8D7B009_33DC_454B_9FCD_4FE65C8432CF_.wvu.FilterData" localSheetId="1" hidden="1">'Définition SHADOW SOLAR EVO'!$A$65:$R$90</definedName>
    <definedName name="Z_D8D7B009_33DC_454B_9FCD_4FE65C8432CF_.wvu.PrintArea" localSheetId="1" hidden="1">'Définition SHADOW SOLAR EVO'!$A$1:$AG$90</definedName>
    <definedName name="Z_D8D7B009_33DC_454B_9FCD_4FE65C8432CF_.wvu.PrintArea" localSheetId="0" hidden="1">Instructions!$B$2:$Q$59</definedName>
    <definedName name="Z_D8D7B009_33DC_454B_9FCD_4FE65C8432CF_.wvu.PrintArea" localSheetId="3" hidden="1">SAV!$A$1:$R$56</definedName>
    <definedName name="_xlnm.Print_Area" localSheetId="1">'Définition SHADOW SOLAR EVO'!$A$1:$O$90</definedName>
    <definedName name="_xlnm.Print_Area" localSheetId="0">Instructions!$B$2:$Q$59</definedName>
    <definedName name="_xlnm.Print_Area" localSheetId="3">SAV!$A$1:$R$56</definedName>
  </definedNames>
  <calcPr calcId="181029"/>
  <customWorkbookViews>
    <customWorkbookView name="Franck - Affichage personnalisé" guid="{D8D7B009-33DC-454B-9FCD-4FE65C8432CF}" mergeInterval="0" personalView="1" maximized="1" windowWidth="1920" windowHeight="835" activeSheetId="1"/>
  </customWorkbookViews>
</workbook>
</file>

<file path=xl/calcChain.xml><?xml version="1.0" encoding="utf-8"?>
<calcChain xmlns="http://schemas.openxmlformats.org/spreadsheetml/2006/main">
  <c r="G89" i="2" l="1"/>
  <c r="I89" i="2" s="1"/>
  <c r="B1" i="3" l="1"/>
  <c r="A208" i="3" l="1"/>
  <c r="A207" i="3"/>
  <c r="A287" i="3"/>
  <c r="Y3" i="6" s="1"/>
  <c r="A295" i="3"/>
  <c r="A296" i="3"/>
  <c r="A297" i="3"/>
  <c r="A290" i="3"/>
  <c r="F36" i="2" s="1"/>
  <c r="A291" i="3"/>
  <c r="A293" i="3"/>
  <c r="A288" i="3"/>
  <c r="Y2" i="6" s="1"/>
  <c r="A289" i="3"/>
  <c r="F35" i="2" s="1"/>
  <c r="A292" i="3"/>
  <c r="A294" i="3"/>
  <c r="A286" i="3"/>
  <c r="C89" i="2" l="1"/>
  <c r="F89" i="2"/>
  <c r="I85" i="2"/>
  <c r="I86" i="2"/>
  <c r="G77" i="2" l="1"/>
  <c r="I76" i="2" l="1"/>
  <c r="I77" i="2"/>
  <c r="G76" i="2"/>
  <c r="G69" i="2" l="1"/>
  <c r="G68" i="2"/>
  <c r="G70" i="2"/>
  <c r="G71" i="2"/>
  <c r="G73" i="2" l="1"/>
  <c r="G72" i="2"/>
  <c r="A64" i="2" l="1"/>
  <c r="N21" i="2"/>
  <c r="N8" i="2"/>
  <c r="M57" i="2"/>
  <c r="M36" i="2"/>
  <c r="M35" i="2"/>
  <c r="L35" i="2"/>
  <c r="J9" i="2"/>
  <c r="I17" i="2"/>
  <c r="G86" i="2" l="1"/>
  <c r="G85" i="2"/>
  <c r="G78" i="2"/>
  <c r="I78" i="2" s="1"/>
  <c r="F37" i="2"/>
  <c r="I73" i="2"/>
  <c r="I72" i="2"/>
  <c r="I71" i="2"/>
  <c r="I70" i="2"/>
  <c r="I69" i="2"/>
  <c r="I68" i="2"/>
  <c r="G67" i="2"/>
  <c r="G66" i="2"/>
  <c r="G84" i="2" s="1"/>
  <c r="G83" i="2" l="1"/>
  <c r="I83" i="2" s="1"/>
  <c r="I67" i="2"/>
  <c r="I66" i="2"/>
  <c r="H11" i="2"/>
  <c r="I84" i="2" l="1"/>
  <c r="B5" i="7" l="1"/>
  <c r="H4" i="7" s="1"/>
  <c r="K61" i="7" l="1"/>
  <c r="K62" i="7" s="1"/>
  <c r="K63" i="7" s="1"/>
  <c r="K64" i="7" s="1"/>
  <c r="K65" i="7" s="1"/>
  <c r="K66" i="7" s="1"/>
  <c r="K67" i="7" s="1"/>
  <c r="K68" i="7" s="1"/>
  <c r="K69" i="7" s="1"/>
  <c r="K70" i="7" s="1"/>
  <c r="K71" i="7" s="1"/>
  <c r="K72" i="7" s="1"/>
  <c r="K73" i="7" s="1"/>
  <c r="K74" i="7" s="1"/>
  <c r="K75" i="7" s="1"/>
  <c r="K76" i="7" s="1"/>
  <c r="K77" i="7" s="1"/>
  <c r="K78" i="7" s="1"/>
  <c r="K79" i="7" s="1"/>
  <c r="K80" i="7" s="1"/>
  <c r="K81" i="7" s="1"/>
  <c r="K82" i="7" s="1"/>
  <c r="K83" i="7" s="1"/>
  <c r="K84" i="7" s="1"/>
  <c r="K85" i="7" s="1"/>
  <c r="K86" i="7" s="1"/>
  <c r="P64" i="6" l="1"/>
  <c r="P63" i="6"/>
  <c r="P62" i="6"/>
  <c r="P61" i="6"/>
  <c r="R60" i="6"/>
  <c r="R59" i="6"/>
  <c r="R58" i="6"/>
  <c r="R57" i="6"/>
  <c r="R12" i="7" l="1"/>
  <c r="R11" i="7"/>
  <c r="A269" i="3" l="1"/>
  <c r="A273" i="3"/>
  <c r="A277" i="3"/>
  <c r="A281" i="3"/>
  <c r="A270" i="3"/>
  <c r="A274" i="3"/>
  <c r="A278" i="3"/>
  <c r="A282" i="3"/>
  <c r="A280" i="3"/>
  <c r="A271" i="3"/>
  <c r="A275" i="3"/>
  <c r="A279" i="3"/>
  <c r="A283" i="3"/>
  <c r="A272" i="3"/>
  <c r="A276" i="3"/>
  <c r="A284" i="3"/>
  <c r="A268" i="3"/>
  <c r="A264" i="3"/>
  <c r="A260" i="3"/>
  <c r="A265" i="3"/>
  <c r="A267" i="3"/>
  <c r="A263" i="3"/>
  <c r="A259" i="3"/>
  <c r="A258" i="3"/>
  <c r="A261" i="3"/>
  <c r="A266" i="3"/>
  <c r="A262" i="3"/>
  <c r="A257" i="3"/>
  <c r="A253" i="3"/>
  <c r="A249" i="3"/>
  <c r="J18" i="2" s="1"/>
  <c r="A256" i="3"/>
  <c r="A252" i="3"/>
  <c r="J10" i="2" s="1"/>
  <c r="A248" i="3"/>
  <c r="G30" i="2" s="1"/>
  <c r="A244" i="3"/>
  <c r="C85" i="2" s="1"/>
  <c r="F85" i="2" s="1"/>
  <c r="A255" i="3"/>
  <c r="A251" i="3"/>
  <c r="N15" i="2" s="1"/>
  <c r="A247" i="3"/>
  <c r="C88" i="2" s="1"/>
  <c r="F88" i="2" s="1"/>
  <c r="A243" i="3"/>
  <c r="C83" i="2" s="1"/>
  <c r="F83" i="2" s="1"/>
  <c r="A254" i="3"/>
  <c r="A250" i="3"/>
  <c r="M9" i="2" s="1"/>
  <c r="A246" i="3"/>
  <c r="C87" i="2" s="1"/>
  <c r="F87" i="2" s="1"/>
  <c r="A242" i="3"/>
  <c r="C82" i="2" s="1"/>
  <c r="F82" i="2" s="1"/>
  <c r="A245" i="3"/>
  <c r="C86" i="2" s="1"/>
  <c r="F86" i="2" s="1"/>
  <c r="A241" i="3"/>
  <c r="C81" i="2" s="1"/>
  <c r="F81" i="2" s="1"/>
  <c r="A237" i="3"/>
  <c r="C77" i="2" s="1"/>
  <c r="F77" i="2" s="1"/>
  <c r="A240" i="3"/>
  <c r="C80" i="2" s="1"/>
  <c r="F80" i="2" s="1"/>
  <c r="A236" i="3"/>
  <c r="C76" i="2" s="1"/>
  <c r="F76" i="2" s="1"/>
  <c r="A239" i="3"/>
  <c r="C79" i="2" s="1"/>
  <c r="F79" i="2" s="1"/>
  <c r="A235" i="3"/>
  <c r="C75" i="2" s="1"/>
  <c r="F75" i="2" s="1"/>
  <c r="A238" i="3"/>
  <c r="C78" i="2" s="1"/>
  <c r="F78" i="2" s="1"/>
  <c r="A234" i="3"/>
  <c r="C74" i="2" s="1"/>
  <c r="F74" i="2" s="1"/>
  <c r="A233" i="3"/>
  <c r="C73" i="2" s="1"/>
  <c r="F73" i="2" s="1"/>
  <c r="A232" i="3"/>
  <c r="C72" i="2" s="1"/>
  <c r="F72" i="2" s="1"/>
  <c r="A231" i="3"/>
  <c r="C71" i="2" s="1"/>
  <c r="F71" i="2" s="1"/>
  <c r="A230" i="3"/>
  <c r="C70" i="2" s="1"/>
  <c r="F70" i="2" s="1"/>
  <c r="A82" i="3"/>
  <c r="A86" i="3"/>
  <c r="A84" i="3"/>
  <c r="A79" i="3"/>
  <c r="F34" i="2" s="1"/>
  <c r="A83" i="3"/>
  <c r="A87" i="3"/>
  <c r="A80" i="3"/>
  <c r="A81" i="3"/>
  <c r="A85" i="3"/>
  <c r="A222" i="3"/>
  <c r="A227" i="3"/>
  <c r="C67" i="2" s="1"/>
  <c r="F67" i="2" s="1"/>
  <c r="A56" i="3"/>
  <c r="A228" i="3"/>
  <c r="C68" i="2" s="1"/>
  <c r="F68" i="2" s="1"/>
  <c r="A225" i="3"/>
  <c r="A221" i="3"/>
  <c r="A57" i="3"/>
  <c r="A224" i="3"/>
  <c r="A229" i="3"/>
  <c r="C69" i="2" s="1"/>
  <c r="F69" i="2" s="1"/>
  <c r="A226" i="3"/>
  <c r="C66" i="2" s="1"/>
  <c r="F66" i="2" s="1"/>
  <c r="AB71" i="6"/>
  <c r="Y59" i="6"/>
  <c r="D98" i="6"/>
  <c r="Y60" i="6" s="1"/>
  <c r="Y51" i="6" s="1"/>
  <c r="P56" i="6"/>
  <c r="Y61" i="6" s="1"/>
  <c r="T49" i="6"/>
  <c r="T47" i="6"/>
  <c r="F38" i="2" l="1"/>
  <c r="AH74" i="6"/>
  <c r="AH79" i="6"/>
  <c r="AH73" i="6"/>
  <c r="AH81" i="6"/>
  <c r="AI76" i="6"/>
  <c r="AI72" i="6"/>
  <c r="AG77" i="6"/>
  <c r="AI80" i="6"/>
  <c r="AG76" i="6"/>
  <c r="AI78" i="6"/>
  <c r="AH80" i="6"/>
  <c r="AI74" i="6"/>
  <c r="AH78" i="6"/>
  <c r="AG79" i="6"/>
  <c r="AG78" i="6"/>
  <c r="AG75" i="6"/>
  <c r="AH77" i="6"/>
  <c r="AG72" i="6"/>
  <c r="AG74" i="6"/>
  <c r="AH76" i="6"/>
  <c r="AG81" i="6"/>
  <c r="AG73" i="6"/>
  <c r="AH75" i="6"/>
  <c r="AG80" i="6"/>
  <c r="AH72" i="6"/>
  <c r="AI82" i="6" l="1"/>
  <c r="AH82" i="6"/>
  <c r="AG82" i="6"/>
  <c r="U7" i="6" l="1"/>
  <c r="V81" i="6" s="1"/>
  <c r="P68" i="6"/>
  <c r="J72" i="6"/>
  <c r="B88" i="6"/>
  <c r="A58" i="6"/>
  <c r="G8" i="5" l="1"/>
  <c r="I17" i="5" s="1"/>
  <c r="G9" i="5"/>
  <c r="I9" i="5" l="1"/>
  <c r="I10" i="5"/>
  <c r="I11" i="5"/>
  <c r="I14" i="5"/>
  <c r="I15" i="5"/>
  <c r="I16" i="5"/>
  <c r="I19" i="5"/>
  <c r="I13" i="5"/>
  <c r="I18" i="5"/>
  <c r="I12" i="5"/>
  <c r="I8" i="5"/>
  <c r="L51" i="7" l="1"/>
  <c r="F51" i="7"/>
  <c r="L50" i="7"/>
  <c r="F50" i="7"/>
  <c r="L41" i="7"/>
  <c r="F41" i="7"/>
  <c r="L40" i="7"/>
  <c r="F40" i="7"/>
  <c r="L33" i="7"/>
  <c r="F33" i="7"/>
  <c r="L32" i="7"/>
  <c r="F32" i="7"/>
  <c r="L25" i="7"/>
  <c r="F25" i="7"/>
  <c r="L24" i="7"/>
  <c r="F24" i="7"/>
  <c r="L19" i="7"/>
  <c r="F19" i="7"/>
  <c r="L18" i="7"/>
  <c r="F18" i="7"/>
  <c r="I16" i="6" l="1"/>
  <c r="I17" i="6"/>
  <c r="I18" i="6"/>
  <c r="I19" i="6"/>
  <c r="I20" i="6"/>
  <c r="I21" i="6"/>
  <c r="I22" i="6"/>
  <c r="I23" i="6"/>
  <c r="I24" i="6"/>
  <c r="I15" i="6"/>
  <c r="I14" i="6"/>
  <c r="I3" i="6"/>
  <c r="I4" i="6" s="1"/>
  <c r="I5" i="6" s="1"/>
  <c r="O23" i="6"/>
  <c r="O21" i="6"/>
  <c r="O19" i="6"/>
  <c r="O17" i="6"/>
  <c r="O15" i="6"/>
  <c r="C28" i="6"/>
  <c r="C27" i="6"/>
  <c r="D28" i="6" s="1"/>
  <c r="C30" i="6"/>
  <c r="C31" i="6"/>
  <c r="C29" i="6"/>
  <c r="E123" i="7"/>
  <c r="B4" i="6"/>
  <c r="B3" i="6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I25" i="6" l="1"/>
  <c r="D30" i="6"/>
  <c r="D33" i="6" s="1"/>
  <c r="B38" i="6" s="1"/>
  <c r="D94" i="7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D111" i="7" s="1"/>
  <c r="D112" i="7" s="1"/>
  <c r="D113" i="7" s="1"/>
  <c r="D114" i="7" s="1"/>
  <c r="D115" i="7" s="1"/>
  <c r="D116" i="7" s="1"/>
  <c r="D117" i="7" s="1"/>
  <c r="D118" i="7" s="1"/>
  <c r="D119" i="7" s="1"/>
  <c r="D120" i="7" s="1"/>
  <c r="D121" i="7" s="1"/>
  <c r="D122" i="7" s="1"/>
  <c r="D123" i="7" s="1"/>
  <c r="B95" i="7"/>
  <c r="B96" i="7"/>
  <c r="B94" i="7"/>
  <c r="B93" i="7"/>
  <c r="E93" i="7"/>
  <c r="B36" i="6" l="1"/>
  <c r="B35" i="6"/>
  <c r="B37" i="6"/>
  <c r="J117" i="7"/>
  <c r="K117" i="7" s="1"/>
  <c r="J123" i="7"/>
  <c r="K123" i="7" s="1"/>
  <c r="L123" i="7" s="1"/>
  <c r="J103" i="7"/>
  <c r="K103" i="7" s="1"/>
  <c r="J118" i="7"/>
  <c r="K118" i="7" s="1"/>
  <c r="J109" i="7"/>
  <c r="K109" i="7" s="1"/>
  <c r="J120" i="7"/>
  <c r="K120" i="7" s="1"/>
  <c r="J93" i="7"/>
  <c r="K93" i="7" s="1"/>
  <c r="J94" i="7"/>
  <c r="K94" i="7" s="1"/>
  <c r="J99" i="7"/>
  <c r="K99" i="7" s="1"/>
  <c r="J110" i="7"/>
  <c r="K110" i="7" s="1"/>
  <c r="L110" i="7" s="1"/>
  <c r="H110" i="7" s="1"/>
  <c r="J121" i="7"/>
  <c r="K121" i="7" s="1"/>
  <c r="J119" i="7"/>
  <c r="K119" i="7" s="1"/>
  <c r="L119" i="7" s="1"/>
  <c r="H119" i="7" s="1"/>
  <c r="J114" i="7"/>
  <c r="K114" i="7" s="1"/>
  <c r="J111" i="7"/>
  <c r="K111" i="7" s="1"/>
  <c r="J115" i="7"/>
  <c r="K115" i="7" s="1"/>
  <c r="J98" i="7"/>
  <c r="K98" i="7" s="1"/>
  <c r="J113" i="7"/>
  <c r="K113" i="7" s="1"/>
  <c r="J107" i="7"/>
  <c r="K107" i="7" s="1"/>
  <c r="L107" i="7" s="1"/>
  <c r="H107" i="7" s="1"/>
  <c r="J100" i="7"/>
  <c r="K100" i="7" s="1"/>
  <c r="J122" i="7"/>
  <c r="K122" i="7" s="1"/>
  <c r="L122" i="7" s="1"/>
  <c r="H122" i="7" s="1"/>
  <c r="J104" i="7"/>
  <c r="K104" i="7" s="1"/>
  <c r="J101" i="7"/>
  <c r="K101" i="7" s="1"/>
  <c r="L101" i="7" s="1"/>
  <c r="H101" i="7" s="1"/>
  <c r="J108" i="7"/>
  <c r="K108" i="7" s="1"/>
  <c r="J112" i="7"/>
  <c r="K112" i="7" s="1"/>
  <c r="J97" i="7"/>
  <c r="K97" i="7" s="1"/>
  <c r="J105" i="7"/>
  <c r="K105" i="7" s="1"/>
  <c r="J116" i="7"/>
  <c r="K116" i="7" s="1"/>
  <c r="L116" i="7" s="1"/>
  <c r="H116" i="7" s="1"/>
  <c r="J96" i="7"/>
  <c r="K96" i="7" s="1"/>
  <c r="J95" i="7"/>
  <c r="K95" i="7" s="1"/>
  <c r="J102" i="7"/>
  <c r="K102" i="7" s="1"/>
  <c r="J106" i="7"/>
  <c r="K106" i="7" s="1"/>
  <c r="H5" i="7"/>
  <c r="H6" i="7" s="1"/>
  <c r="H7" i="7" s="1"/>
  <c r="H8" i="7" s="1"/>
  <c r="H9" i="7" s="1"/>
  <c r="H10" i="7" s="1"/>
  <c r="H11" i="7" s="1"/>
  <c r="H12" i="7" s="1"/>
  <c r="H13" i="7" s="1"/>
  <c r="B4" i="7"/>
  <c r="P11" i="7" l="1"/>
  <c r="Q11" i="7" s="1"/>
  <c r="P12" i="7"/>
  <c r="Q12" i="7" s="1"/>
  <c r="L109" i="7"/>
  <c r="H109" i="7" s="1"/>
  <c r="L99" i="7"/>
  <c r="H99" i="7" s="1"/>
  <c r="L112" i="7"/>
  <c r="H112" i="7" s="1"/>
  <c r="L108" i="7"/>
  <c r="H108" i="7" s="1"/>
  <c r="L106" i="7"/>
  <c r="H106" i="7" s="1"/>
  <c r="L118" i="7"/>
  <c r="H118" i="7" s="1"/>
  <c r="L105" i="7"/>
  <c r="H105" i="7" s="1"/>
  <c r="L121" i="7"/>
  <c r="H121" i="7" s="1"/>
  <c r="L113" i="7"/>
  <c r="H113" i="7" s="1"/>
  <c r="L102" i="7"/>
  <c r="H102" i="7" s="1"/>
  <c r="L120" i="7"/>
  <c r="H120" i="7" s="1"/>
  <c r="L100" i="7"/>
  <c r="H100" i="7" s="1"/>
  <c r="L104" i="7"/>
  <c r="H104" i="7" s="1"/>
  <c r="L115" i="7"/>
  <c r="H115" i="7" s="1"/>
  <c r="L111" i="7"/>
  <c r="H111" i="7" s="1"/>
  <c r="L114" i="7"/>
  <c r="H114" i="7" s="1"/>
  <c r="L117" i="7"/>
  <c r="H117" i="7" s="1"/>
  <c r="L95" i="7"/>
  <c r="H95" i="7" s="1"/>
  <c r="L94" i="7"/>
  <c r="H94" i="7" s="1"/>
  <c r="L93" i="7"/>
  <c r="H93" i="7" s="1"/>
  <c r="L96" i="7"/>
  <c r="H96" i="7" s="1"/>
  <c r="L97" i="7"/>
  <c r="H97" i="7" s="1"/>
  <c r="L98" i="7"/>
  <c r="H98" i="7" s="1"/>
  <c r="L103" i="7"/>
  <c r="H103" i="7" s="1"/>
  <c r="I5" i="7"/>
  <c r="J4" i="7"/>
  <c r="K11" i="7"/>
  <c r="J6" i="7"/>
  <c r="I10" i="7"/>
  <c r="K9" i="7"/>
  <c r="J9" i="7"/>
  <c r="I4" i="7"/>
  <c r="I9" i="7"/>
  <c r="K12" i="7"/>
  <c r="J7" i="7"/>
  <c r="J12" i="7"/>
  <c r="I7" i="7"/>
  <c r="I12" i="7"/>
  <c r="K6" i="7"/>
  <c r="K4" i="7"/>
  <c r="J11" i="7"/>
  <c r="K8" i="7"/>
  <c r="I6" i="7"/>
  <c r="K13" i="7"/>
  <c r="I11" i="7"/>
  <c r="J8" i="7"/>
  <c r="K5" i="7"/>
  <c r="J13" i="7"/>
  <c r="K10" i="7"/>
  <c r="I8" i="7"/>
  <c r="J5" i="7"/>
  <c r="I13" i="7"/>
  <c r="J10" i="7"/>
  <c r="K7" i="7"/>
  <c r="H125" i="7" l="1"/>
  <c r="H123" i="7" s="1"/>
  <c r="H124" i="7" s="1"/>
  <c r="J14" i="7"/>
  <c r="M10" i="2" s="1"/>
  <c r="I14" i="7"/>
  <c r="M15" i="2" s="1"/>
  <c r="K14" i="7"/>
  <c r="N10" i="2" s="1"/>
  <c r="AE181" i="6"/>
  <c r="AE180" i="6"/>
  <c r="AD180" i="6"/>
  <c r="AC180" i="6"/>
  <c r="AB180" i="6"/>
  <c r="AA180" i="6"/>
  <c r="Z180" i="6"/>
  <c r="Y180" i="6"/>
  <c r="X180" i="6"/>
  <c r="AE179" i="6"/>
  <c r="AE178" i="6"/>
  <c r="AD178" i="6"/>
  <c r="AC178" i="6"/>
  <c r="AB178" i="6"/>
  <c r="AA178" i="6"/>
  <c r="Z178" i="6"/>
  <c r="Y178" i="6"/>
  <c r="X178" i="6"/>
  <c r="AE177" i="6"/>
  <c r="AE176" i="6"/>
  <c r="AD176" i="6"/>
  <c r="AC176" i="6"/>
  <c r="AB176" i="6"/>
  <c r="AA176" i="6"/>
  <c r="Z176" i="6"/>
  <c r="Y176" i="6"/>
  <c r="X176" i="6"/>
  <c r="U176" i="6"/>
  <c r="U180" i="6" s="1"/>
  <c r="T176" i="6"/>
  <c r="T180" i="6" s="1"/>
  <c r="S176" i="6"/>
  <c r="S180" i="6" s="1"/>
  <c r="R176" i="6"/>
  <c r="R180" i="6" s="1"/>
  <c r="Q176" i="6"/>
  <c r="Q180" i="6" s="1"/>
  <c r="P176" i="6"/>
  <c r="P180" i="6" s="1"/>
  <c r="AE175" i="6"/>
  <c r="AE174" i="6"/>
  <c r="AD174" i="6"/>
  <c r="AC174" i="6"/>
  <c r="AB174" i="6"/>
  <c r="AA174" i="6"/>
  <c r="Z174" i="6"/>
  <c r="Y174" i="6"/>
  <c r="X174" i="6"/>
  <c r="AE173" i="6"/>
  <c r="AE172" i="6"/>
  <c r="AD172" i="6"/>
  <c r="AC172" i="6"/>
  <c r="AB172" i="6"/>
  <c r="AA172" i="6"/>
  <c r="Z172" i="6"/>
  <c r="Y172" i="6"/>
  <c r="X172" i="6"/>
  <c r="U172" i="6"/>
  <c r="T172" i="6"/>
  <c r="S172" i="6"/>
  <c r="S168" i="6" s="1"/>
  <c r="R172" i="6"/>
  <c r="R168" i="6" s="1"/>
  <c r="Q172" i="6"/>
  <c r="Q168" i="6" s="1"/>
  <c r="P172" i="6"/>
  <c r="P168" i="6" s="1"/>
  <c r="AE171" i="6"/>
  <c r="AE170" i="6"/>
  <c r="AD170" i="6"/>
  <c r="AC170" i="6"/>
  <c r="AB170" i="6"/>
  <c r="AA170" i="6"/>
  <c r="Z170" i="6"/>
  <c r="Y170" i="6"/>
  <c r="X170" i="6"/>
  <c r="AE169" i="6"/>
  <c r="AE168" i="6"/>
  <c r="AD168" i="6"/>
  <c r="AC168" i="6"/>
  <c r="AB168" i="6"/>
  <c r="AA168" i="6"/>
  <c r="Z168" i="6"/>
  <c r="Y168" i="6"/>
  <c r="X168" i="6"/>
  <c r="U168" i="6"/>
  <c r="T168" i="6"/>
  <c r="U162" i="6"/>
  <c r="U166" i="6" s="1"/>
  <c r="T162" i="6"/>
  <c r="T166" i="6" s="1"/>
  <c r="S162" i="6"/>
  <c r="S166" i="6" s="1"/>
  <c r="R162" i="6"/>
  <c r="R166" i="6" s="1"/>
  <c r="Q162" i="6"/>
  <c r="Q166" i="6" s="1"/>
  <c r="P162" i="6"/>
  <c r="P166" i="6" s="1"/>
  <c r="U158" i="6"/>
  <c r="U154" i="6" s="1"/>
  <c r="T158" i="6"/>
  <c r="T154" i="6" s="1"/>
  <c r="S158" i="6"/>
  <c r="S154" i="6" s="1"/>
  <c r="R158" i="6"/>
  <c r="R154" i="6" s="1"/>
  <c r="Q158" i="6"/>
  <c r="Q154" i="6" s="1"/>
  <c r="P158" i="6"/>
  <c r="P154" i="6" s="1"/>
  <c r="U148" i="6"/>
  <c r="U152" i="6" s="1"/>
  <c r="T148" i="6"/>
  <c r="T152" i="6" s="1"/>
  <c r="S148" i="6"/>
  <c r="S152" i="6" s="1"/>
  <c r="R148" i="6"/>
  <c r="R152" i="6" s="1"/>
  <c r="Q148" i="6"/>
  <c r="Q152" i="6" s="1"/>
  <c r="P148" i="6"/>
  <c r="P152" i="6" s="1"/>
  <c r="U144" i="6"/>
  <c r="U140" i="6" s="1"/>
  <c r="T144" i="6"/>
  <c r="T140" i="6" s="1"/>
  <c r="S144" i="6"/>
  <c r="S140" i="6" s="1"/>
  <c r="R144" i="6"/>
  <c r="R140" i="6" s="1"/>
  <c r="Q144" i="6"/>
  <c r="Q140" i="6" s="1"/>
  <c r="P144" i="6"/>
  <c r="P140" i="6" s="1"/>
  <c r="AE139" i="6"/>
  <c r="AE138" i="6"/>
  <c r="AD138" i="6"/>
  <c r="AC138" i="6"/>
  <c r="AB138" i="6"/>
  <c r="AA138" i="6"/>
  <c r="Z138" i="6"/>
  <c r="Y138" i="6"/>
  <c r="P101" i="6"/>
  <c r="V101" i="6" s="1"/>
  <c r="Z100" i="6"/>
  <c r="Y100" i="6"/>
  <c r="X100" i="6"/>
  <c r="W100" i="6"/>
  <c r="V100" i="6"/>
  <c r="Z99" i="6"/>
  <c r="Y99" i="6"/>
  <c r="X99" i="6"/>
  <c r="W99" i="6"/>
  <c r="V99" i="6"/>
  <c r="Z98" i="6"/>
  <c r="Y98" i="6"/>
  <c r="X98" i="6"/>
  <c r="W98" i="6"/>
  <c r="V98" i="6"/>
  <c r="P50" i="6"/>
  <c r="AD48" i="6" s="1"/>
  <c r="Z97" i="6"/>
  <c r="Y97" i="6"/>
  <c r="X97" i="6"/>
  <c r="W97" i="6"/>
  <c r="V97" i="6"/>
  <c r="Z96" i="6"/>
  <c r="Y96" i="6"/>
  <c r="X96" i="6"/>
  <c r="W96" i="6"/>
  <c r="V96" i="6"/>
  <c r="Z95" i="6"/>
  <c r="AC152" i="6" s="1"/>
  <c r="Y95" i="6"/>
  <c r="AB166" i="6" s="1"/>
  <c r="X95" i="6"/>
  <c r="W95" i="6"/>
  <c r="V95" i="6"/>
  <c r="Z94" i="6"/>
  <c r="Y94" i="6"/>
  <c r="X164" i="6" s="1"/>
  <c r="X94" i="6"/>
  <c r="W94" i="6"/>
  <c r="V94" i="6"/>
  <c r="Z93" i="6"/>
  <c r="Y93" i="6"/>
  <c r="X93" i="6"/>
  <c r="W93" i="6"/>
  <c r="V93" i="6"/>
  <c r="Z92" i="6"/>
  <c r="Y92" i="6"/>
  <c r="X92" i="6"/>
  <c r="W92" i="6"/>
  <c r="V92" i="6"/>
  <c r="Z91" i="6"/>
  <c r="Y91" i="6"/>
  <c r="X91" i="6"/>
  <c r="W91" i="6"/>
  <c r="V91" i="6"/>
  <c r="Z90" i="6"/>
  <c r="Y90" i="6"/>
  <c r="X90" i="6"/>
  <c r="W90" i="6"/>
  <c r="V90" i="6"/>
  <c r="Z89" i="6"/>
  <c r="Y89" i="6"/>
  <c r="X89" i="6"/>
  <c r="W89" i="6"/>
  <c r="V89" i="6"/>
  <c r="Z88" i="6"/>
  <c r="Y88" i="6"/>
  <c r="X88" i="6"/>
  <c r="W88" i="6"/>
  <c r="V88" i="6"/>
  <c r="Z87" i="6"/>
  <c r="Y87" i="6"/>
  <c r="X87" i="6"/>
  <c r="W87" i="6"/>
  <c r="V87" i="6"/>
  <c r="Z86" i="6"/>
  <c r="Y86" i="6"/>
  <c r="X86" i="6"/>
  <c r="W86" i="6"/>
  <c r="V86" i="6"/>
  <c r="Z85" i="6"/>
  <c r="Y85" i="6"/>
  <c r="X85" i="6"/>
  <c r="W85" i="6"/>
  <c r="V85" i="6"/>
  <c r="Z84" i="6"/>
  <c r="Y84" i="6"/>
  <c r="X84" i="6"/>
  <c r="W84" i="6"/>
  <c r="V84" i="6"/>
  <c r="Z83" i="6"/>
  <c r="Y83" i="6"/>
  <c r="X83" i="6"/>
  <c r="W83" i="6"/>
  <c r="V83" i="6"/>
  <c r="Z82" i="6"/>
  <c r="Y82" i="6"/>
  <c r="X82" i="6"/>
  <c r="W82" i="6"/>
  <c r="V82" i="6"/>
  <c r="Z81" i="6"/>
  <c r="Y81" i="6"/>
  <c r="X81" i="6"/>
  <c r="W81" i="6"/>
  <c r="AA137" i="6"/>
  <c r="AA136" i="6"/>
  <c r="Y136" i="6"/>
  <c r="P66" i="6"/>
  <c r="P67" i="6" s="1"/>
  <c r="P55" i="6"/>
  <c r="D48" i="6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X101" i="6" l="1"/>
  <c r="P102" i="6"/>
  <c r="P103" i="6" s="1"/>
  <c r="P104" i="6" s="1"/>
  <c r="Z104" i="6" s="1"/>
  <c r="W101" i="6"/>
  <c r="Y58" i="6"/>
  <c r="Y49" i="6" s="1"/>
  <c r="AB162" i="6"/>
  <c r="AE155" i="6"/>
  <c r="AD154" i="6"/>
  <c r="AA158" i="6"/>
  <c r="AC156" i="6"/>
  <c r="Z160" i="6"/>
  <c r="AD162" i="6"/>
  <c r="X166" i="6"/>
  <c r="Y142" i="6"/>
  <c r="AD146" i="6"/>
  <c r="V102" i="6"/>
  <c r="Z140" i="6"/>
  <c r="AE144" i="6"/>
  <c r="AB150" i="6"/>
  <c r="Z152" i="6"/>
  <c r="Y101" i="6"/>
  <c r="AA140" i="6"/>
  <c r="AB142" i="6"/>
  <c r="Z144" i="6"/>
  <c r="Y146" i="6"/>
  <c r="AE148" i="6"/>
  <c r="AA152" i="6"/>
  <c r="X154" i="6"/>
  <c r="Z156" i="6"/>
  <c r="AA160" i="6"/>
  <c r="X162" i="6"/>
  <c r="Z164" i="6"/>
  <c r="AA166" i="6"/>
  <c r="AC144" i="6"/>
  <c r="AA148" i="6"/>
  <c r="Z150" i="6"/>
  <c r="Z142" i="6"/>
  <c r="AC148" i="6"/>
  <c r="Z101" i="6"/>
  <c r="Z102" i="6"/>
  <c r="AC140" i="6"/>
  <c r="AD142" i="6"/>
  <c r="AA144" i="6"/>
  <c r="AB146" i="6"/>
  <c r="Z148" i="6"/>
  <c r="Y150" i="6"/>
  <c r="AB154" i="6"/>
  <c r="AA156" i="6"/>
  <c r="X158" i="6"/>
  <c r="AC160" i="6"/>
  <c r="AA162" i="6"/>
  <c r="Y57" i="6"/>
  <c r="Z136" i="6"/>
  <c r="W133" i="6" s="1"/>
  <c r="AB48" i="6"/>
  <c r="AC48" i="6"/>
  <c r="AJ56" i="6"/>
  <c r="AJ55" i="6"/>
  <c r="AH54" i="6"/>
  <c r="AJ60" i="6"/>
  <c r="AH59" i="6"/>
  <c r="AF58" i="6"/>
  <c r="AF57" i="6"/>
  <c r="AH60" i="6"/>
  <c r="AF59" i="6"/>
  <c r="AK61" i="6"/>
  <c r="AG61" i="6"/>
  <c r="AJ59" i="6"/>
  <c r="AH55" i="6"/>
  <c r="AF56" i="6"/>
  <c r="AF60" i="6"/>
  <c r="AJ57" i="6"/>
  <c r="AJ58" i="6"/>
  <c r="AH57" i="6"/>
  <c r="AI61" i="6"/>
  <c r="AH58" i="6"/>
  <c r="AJ54" i="6"/>
  <c r="AF54" i="6"/>
  <c r="AH56" i="6"/>
  <c r="AF55" i="6"/>
  <c r="Z131" i="6"/>
  <c r="Y131" i="6"/>
  <c r="W104" i="6"/>
  <c r="P105" i="6"/>
  <c r="Y104" i="6"/>
  <c r="X104" i="6"/>
  <c r="V104" i="6"/>
  <c r="Z137" i="6"/>
  <c r="AB137" i="6"/>
  <c r="X103" i="6"/>
  <c r="Y137" i="6"/>
  <c r="AC166" i="6"/>
  <c r="AB164" i="6"/>
  <c r="AC162" i="6"/>
  <c r="AB160" i="6"/>
  <c r="AC158" i="6"/>
  <c r="AB156" i="6"/>
  <c r="AC154" i="6"/>
  <c r="Z166" i="6"/>
  <c r="Y164" i="6"/>
  <c r="Z162" i="6"/>
  <c r="Y160" i="6"/>
  <c r="Z158" i="6"/>
  <c r="Y156" i="6"/>
  <c r="Z154" i="6"/>
  <c r="AE167" i="6"/>
  <c r="AE164" i="6"/>
  <c r="AE163" i="6"/>
  <c r="AE160" i="6"/>
  <c r="AE159" i="6"/>
  <c r="AE156" i="6"/>
  <c r="Y166" i="6"/>
  <c r="AE165" i="6"/>
  <c r="Y162" i="6"/>
  <c r="AE161" i="6"/>
  <c r="Y158" i="6"/>
  <c r="AE157" i="6"/>
  <c r="Y154" i="6"/>
  <c r="AE166" i="6"/>
  <c r="AD164" i="6"/>
  <c r="AE162" i="6"/>
  <c r="AD160" i="6"/>
  <c r="AE158" i="6"/>
  <c r="AD156" i="6"/>
  <c r="AE154" i="6"/>
  <c r="AB158" i="6"/>
  <c r="AA164" i="6"/>
  <c r="AD166" i="6"/>
  <c r="AB152" i="6"/>
  <c r="AA150" i="6"/>
  <c r="AB148" i="6"/>
  <c r="AA146" i="6"/>
  <c r="AB144" i="6"/>
  <c r="AA142" i="6"/>
  <c r="AB140" i="6"/>
  <c r="Y152" i="6"/>
  <c r="AE151" i="6"/>
  <c r="Y148" i="6"/>
  <c r="AE147" i="6"/>
  <c r="Y144" i="6"/>
  <c r="AE143" i="6"/>
  <c r="Y140" i="6"/>
  <c r="AE153" i="6"/>
  <c r="AE150" i="6"/>
  <c r="AE149" i="6"/>
  <c r="AE146" i="6"/>
  <c r="AE145" i="6"/>
  <c r="AE142" i="6"/>
  <c r="AE141" i="6"/>
  <c r="AD152" i="6"/>
  <c r="AC150" i="6"/>
  <c r="AD148" i="6"/>
  <c r="AC146" i="6"/>
  <c r="AD144" i="6"/>
  <c r="AC142" i="6"/>
  <c r="AD140" i="6"/>
  <c r="AE140" i="6"/>
  <c r="Z146" i="6"/>
  <c r="AD150" i="6"/>
  <c r="AE152" i="6"/>
  <c r="AA154" i="6"/>
  <c r="AD158" i="6"/>
  <c r="AC164" i="6"/>
  <c r="Z103" i="6"/>
  <c r="Y103" i="6"/>
  <c r="W103" i="6"/>
  <c r="X150" i="6"/>
  <c r="X146" i="6"/>
  <c r="X142" i="6"/>
  <c r="X152" i="6"/>
  <c r="X148" i="6"/>
  <c r="X144" i="6"/>
  <c r="X140" i="6"/>
  <c r="X156" i="6"/>
  <c r="X160" i="6"/>
  <c r="W102" i="6"/>
  <c r="X102" i="6"/>
  <c r="V103" i="6" l="1"/>
  <c r="Y102" i="6"/>
  <c r="AB182" i="6"/>
  <c r="Z182" i="6"/>
  <c r="AD182" i="6"/>
  <c r="Y182" i="6"/>
  <c r="AA182" i="6"/>
  <c r="P53" i="6"/>
  <c r="Y47" i="6"/>
  <c r="T56" i="6" s="1"/>
  <c r="T63" i="6" s="1"/>
  <c r="P54" i="6"/>
  <c r="AC182" i="6"/>
  <c r="Y105" i="6"/>
  <c r="V105" i="6"/>
  <c r="P106" i="6"/>
  <c r="W105" i="6"/>
  <c r="Z105" i="6"/>
  <c r="X105" i="6"/>
  <c r="M59" i="2" l="1"/>
  <c r="AB70" i="6" s="1"/>
  <c r="P107" i="6"/>
  <c r="X106" i="6"/>
  <c r="W106" i="6"/>
  <c r="Z106" i="6"/>
  <c r="Y106" i="6"/>
  <c r="V106" i="6"/>
  <c r="Z107" i="6" l="1"/>
  <c r="Y107" i="6"/>
  <c r="W107" i="6"/>
  <c r="P108" i="6"/>
  <c r="V107" i="6"/>
  <c r="X107" i="6"/>
  <c r="W108" i="6" l="1"/>
  <c r="P109" i="6"/>
  <c r="Y108" i="6"/>
  <c r="V108" i="6"/>
  <c r="Z108" i="6"/>
  <c r="X108" i="6"/>
  <c r="Y109" i="6" l="1"/>
  <c r="V109" i="6"/>
  <c r="P110" i="6"/>
  <c r="Z109" i="6"/>
  <c r="X109" i="6"/>
  <c r="W109" i="6"/>
  <c r="P111" i="6" l="1"/>
  <c r="X110" i="6"/>
  <c r="W110" i="6"/>
  <c r="Y110" i="6"/>
  <c r="Z110" i="6"/>
  <c r="V110" i="6"/>
  <c r="Z111" i="6" l="1"/>
  <c r="Y111" i="6"/>
  <c r="W111" i="6"/>
  <c r="P112" i="6"/>
  <c r="X111" i="6"/>
  <c r="V111" i="6"/>
  <c r="W112" i="6" l="1"/>
  <c r="P113" i="6"/>
  <c r="Y112" i="6"/>
  <c r="X112" i="6"/>
  <c r="V112" i="6"/>
  <c r="Z112" i="6"/>
  <c r="Y113" i="6" l="1"/>
  <c r="V113" i="6"/>
  <c r="P114" i="6"/>
  <c r="Z113" i="6"/>
  <c r="W113" i="6"/>
  <c r="X113" i="6"/>
  <c r="P115" i="6" l="1"/>
  <c r="X114" i="6"/>
  <c r="W114" i="6"/>
  <c r="Z114" i="6"/>
  <c r="Y114" i="6"/>
  <c r="V114" i="6"/>
  <c r="Z115" i="6" l="1"/>
  <c r="Y115" i="6"/>
  <c r="W115" i="6"/>
  <c r="P116" i="6"/>
  <c r="V115" i="6"/>
  <c r="X115" i="6"/>
  <c r="W116" i="6" l="1"/>
  <c r="P117" i="6"/>
  <c r="Y116" i="6"/>
  <c r="V116" i="6"/>
  <c r="Z116" i="6"/>
  <c r="X116" i="6"/>
  <c r="Y117" i="6" l="1"/>
  <c r="V117" i="6"/>
  <c r="P118" i="6"/>
  <c r="Z117" i="6"/>
  <c r="X117" i="6"/>
  <c r="W117" i="6"/>
  <c r="P119" i="6" l="1"/>
  <c r="X118" i="6"/>
  <c r="W118" i="6"/>
  <c r="Y118" i="6"/>
  <c r="Z118" i="6"/>
  <c r="V118" i="6"/>
  <c r="Z119" i="6" l="1"/>
  <c r="Y119" i="6"/>
  <c r="W119" i="6"/>
  <c r="P120" i="6"/>
  <c r="X119" i="6"/>
  <c r="V119" i="6"/>
  <c r="W120" i="6" l="1"/>
  <c r="P121" i="6"/>
  <c r="Y120" i="6"/>
  <c r="X120" i="6"/>
  <c r="V120" i="6"/>
  <c r="Z120" i="6"/>
  <c r="Y121" i="6" l="1"/>
  <c r="V121" i="6"/>
  <c r="P122" i="6"/>
  <c r="X121" i="6"/>
  <c r="W121" i="6"/>
  <c r="Z121" i="6"/>
  <c r="P123" i="6" l="1"/>
  <c r="X122" i="6"/>
  <c r="W122" i="6"/>
  <c r="Z122" i="6"/>
  <c r="Y122" i="6"/>
  <c r="V122" i="6"/>
  <c r="Z123" i="6" l="1"/>
  <c r="Y123" i="6"/>
  <c r="W123" i="6"/>
  <c r="P124" i="6"/>
  <c r="V123" i="6"/>
  <c r="X123" i="6"/>
  <c r="W124" i="6" l="1"/>
  <c r="P125" i="6"/>
  <c r="Y124" i="6"/>
  <c r="Z124" i="6"/>
  <c r="X124" i="6"/>
  <c r="V124" i="6"/>
  <c r="Y125" i="6" l="1"/>
  <c r="V125" i="6"/>
  <c r="P126" i="6"/>
  <c r="Z125" i="6"/>
  <c r="X125" i="6"/>
  <c r="W125" i="6"/>
  <c r="P127" i="6" l="1"/>
  <c r="X126" i="6"/>
  <c r="W126" i="6"/>
  <c r="Z126" i="6"/>
  <c r="Y126" i="6"/>
  <c r="V126" i="6"/>
  <c r="Z127" i="6" l="1"/>
  <c r="Y127" i="6"/>
  <c r="W127" i="6"/>
  <c r="V127" i="6"/>
  <c r="P128" i="6"/>
  <c r="X127" i="6"/>
  <c r="W128" i="6" l="1"/>
  <c r="P129" i="6"/>
  <c r="Y128" i="6"/>
  <c r="X128" i="6"/>
  <c r="V128" i="6"/>
  <c r="Z128" i="6"/>
  <c r="Y129" i="6" l="1"/>
  <c r="V129" i="6"/>
  <c r="P130" i="6"/>
  <c r="X129" i="6"/>
  <c r="W129" i="6"/>
  <c r="Z129" i="6"/>
  <c r="X130" i="6" l="1"/>
  <c r="X131" i="6" s="1"/>
  <c r="W130" i="6"/>
  <c r="W131" i="6" s="1"/>
  <c r="Z130" i="6"/>
  <c r="Y130" i="6"/>
  <c r="V130" i="6"/>
  <c r="V131" i="6" s="1"/>
  <c r="AA131" i="6" l="1"/>
  <c r="P70" i="6" s="1"/>
  <c r="P71" i="6" s="1"/>
  <c r="T54" i="6" s="1"/>
  <c r="T61" i="6" s="1"/>
  <c r="E87" i="7"/>
  <c r="E86" i="7"/>
  <c r="E85" i="7"/>
  <c r="E84" i="7"/>
  <c r="E83" i="7"/>
  <c r="E82" i="7"/>
  <c r="E81" i="7"/>
  <c r="E80" i="7"/>
  <c r="E79" i="7"/>
  <c r="E78" i="7"/>
  <c r="E77" i="7"/>
  <c r="E76" i="7"/>
  <c r="E74" i="7"/>
  <c r="E73" i="7"/>
  <c r="E71" i="7"/>
  <c r="E70" i="7"/>
  <c r="G62" i="7"/>
  <c r="G63" i="7" s="1"/>
  <c r="G64" i="7" s="1"/>
  <c r="G65" i="7" s="1"/>
  <c r="G66" i="7" s="1"/>
  <c r="G67" i="7" s="1"/>
  <c r="G68" i="7" s="1"/>
  <c r="G69" i="7" s="1"/>
  <c r="G70" i="7" s="1"/>
  <c r="G71" i="7" s="1"/>
  <c r="G72" i="7" s="1"/>
  <c r="G73" i="7" s="1"/>
  <c r="G74" i="7" s="1"/>
  <c r="G75" i="7" s="1"/>
  <c r="G76" i="7" s="1"/>
  <c r="G77" i="7" s="1"/>
  <c r="G78" i="7" s="1"/>
  <c r="G79" i="7" s="1"/>
  <c r="G80" i="7" s="1"/>
  <c r="G81" i="7" s="1"/>
  <c r="G82" i="7" s="1"/>
  <c r="G83" i="7" s="1"/>
  <c r="G84" i="7" s="1"/>
  <c r="G85" i="7" s="1"/>
  <c r="G86" i="7" s="1"/>
  <c r="G87" i="7" s="1"/>
  <c r="E64" i="7"/>
  <c r="E62" i="7"/>
  <c r="E66" i="7"/>
  <c r="M58" i="2" l="1"/>
  <c r="AB69" i="6" s="1"/>
  <c r="E68" i="7"/>
  <c r="E67" i="7"/>
  <c r="B66" i="7"/>
  <c r="B65" i="7"/>
  <c r="B63" i="7"/>
  <c r="B61" i="7"/>
  <c r="E75" i="7"/>
  <c r="E72" i="7"/>
  <c r="E69" i="7"/>
  <c r="E65" i="7"/>
  <c r="E63" i="7"/>
  <c r="E61" i="7"/>
  <c r="L63" i="7" l="1"/>
  <c r="L71" i="7"/>
  <c r="L79" i="7"/>
  <c r="L61" i="7"/>
  <c r="L64" i="7"/>
  <c r="L72" i="7"/>
  <c r="L80" i="7"/>
  <c r="L65" i="7"/>
  <c r="L73" i="7"/>
  <c r="L81" i="7"/>
  <c r="L66" i="7"/>
  <c r="L74" i="7"/>
  <c r="L82" i="7"/>
  <c r="L67" i="7"/>
  <c r="L75" i="7"/>
  <c r="L83" i="7"/>
  <c r="L68" i="7"/>
  <c r="L76" i="7"/>
  <c r="L84" i="7"/>
  <c r="L69" i="7"/>
  <c r="L77" i="7"/>
  <c r="L85" i="7"/>
  <c r="L62" i="7"/>
  <c r="L70" i="7"/>
  <c r="L78" i="7"/>
  <c r="L86" i="7"/>
  <c r="C87" i="7"/>
  <c r="O72" i="7" l="1"/>
  <c r="N72" i="7"/>
  <c r="O78" i="7"/>
  <c r="N78" i="7"/>
  <c r="O83" i="7"/>
  <c r="N83" i="7"/>
  <c r="O74" i="7"/>
  <c r="N74" i="7"/>
  <c r="D74" i="7" s="1"/>
  <c r="O69" i="7"/>
  <c r="N69" i="7"/>
  <c r="O75" i="7"/>
  <c r="N75" i="7"/>
  <c r="O66" i="7"/>
  <c r="N66" i="7"/>
  <c r="O77" i="7"/>
  <c r="N77" i="7"/>
  <c r="O81" i="7"/>
  <c r="N81" i="7"/>
  <c r="O76" i="7"/>
  <c r="N76" i="7"/>
  <c r="O82" i="7"/>
  <c r="N82" i="7"/>
  <c r="D82" i="7" s="1"/>
  <c r="O70" i="7"/>
  <c r="N70" i="7"/>
  <c r="O65" i="7"/>
  <c r="N65" i="7"/>
  <c r="O85" i="7"/>
  <c r="N85" i="7"/>
  <c r="D85" i="7" s="1"/>
  <c r="O67" i="7"/>
  <c r="N67" i="7"/>
  <c r="O62" i="7"/>
  <c r="N62" i="7"/>
  <c r="O80" i="7"/>
  <c r="N80" i="7"/>
  <c r="O63" i="7"/>
  <c r="N63" i="7"/>
  <c r="O71" i="7"/>
  <c r="N71" i="7"/>
  <c r="D71" i="7" s="1"/>
  <c r="O68" i="7"/>
  <c r="N68" i="7"/>
  <c r="O64" i="7"/>
  <c r="N64" i="7"/>
  <c r="O86" i="7"/>
  <c r="N86" i="7"/>
  <c r="D86" i="7" s="1"/>
  <c r="O73" i="7"/>
  <c r="N73" i="7"/>
  <c r="D73" i="7" s="1"/>
  <c r="O84" i="7"/>
  <c r="N84" i="7"/>
  <c r="O61" i="7"/>
  <c r="N61" i="7"/>
  <c r="O79" i="7"/>
  <c r="N79" i="7"/>
  <c r="L87" i="7"/>
  <c r="S5" i="6"/>
  <c r="S4" i="6" s="1"/>
  <c r="L21" i="7"/>
  <c r="L22" i="7"/>
  <c r="L23" i="7"/>
  <c r="L26" i="7"/>
  <c r="L27" i="7"/>
  <c r="L28" i="7"/>
  <c r="L29" i="7"/>
  <c r="L30" i="7"/>
  <c r="L31" i="7"/>
  <c r="L34" i="7"/>
  <c r="L35" i="7"/>
  <c r="L36" i="7"/>
  <c r="L37" i="7"/>
  <c r="L38" i="7"/>
  <c r="L39" i="7"/>
  <c r="L42" i="7"/>
  <c r="L43" i="7"/>
  <c r="L44" i="7"/>
  <c r="L45" i="7"/>
  <c r="L46" i="7"/>
  <c r="L47" i="7"/>
  <c r="L48" i="7"/>
  <c r="L49" i="7"/>
  <c r="L52" i="7"/>
  <c r="L53" i="7"/>
  <c r="L54" i="7"/>
  <c r="L55" i="7"/>
  <c r="L56" i="7"/>
  <c r="L57" i="7"/>
  <c r="B21" i="7"/>
  <c r="L20" i="7"/>
  <c r="L17" i="7"/>
  <c r="L16" i="7"/>
  <c r="H17" i="7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F42" i="7"/>
  <c r="F43" i="7"/>
  <c r="F44" i="7"/>
  <c r="F45" i="7"/>
  <c r="F46" i="7"/>
  <c r="F47" i="7"/>
  <c r="F56" i="7"/>
  <c r="F57" i="7"/>
  <c r="F30" i="7"/>
  <c r="F31" i="7"/>
  <c r="F34" i="7"/>
  <c r="F35" i="7"/>
  <c r="F48" i="7"/>
  <c r="F49" i="7"/>
  <c r="F52" i="7"/>
  <c r="F53" i="7"/>
  <c r="F22" i="7"/>
  <c r="F23" i="7"/>
  <c r="F26" i="7"/>
  <c r="F27" i="7"/>
  <c r="B17" i="7"/>
  <c r="F20" i="7"/>
  <c r="F17" i="7"/>
  <c r="F55" i="7"/>
  <c r="F54" i="7"/>
  <c r="F39" i="7"/>
  <c r="F38" i="7"/>
  <c r="F37" i="7"/>
  <c r="F36" i="7"/>
  <c r="F29" i="7"/>
  <c r="F28" i="7"/>
  <c r="F21" i="7"/>
  <c r="F16" i="7"/>
  <c r="D5" i="7"/>
  <c r="D7" i="7"/>
  <c r="D11" i="7"/>
  <c r="D9" i="7"/>
  <c r="D13" i="7"/>
  <c r="C10" i="6"/>
  <c r="G88" i="2" s="1"/>
  <c r="I88" i="2" l="1"/>
  <c r="G87" i="2"/>
  <c r="I87" i="2" s="1"/>
  <c r="K30" i="6"/>
  <c r="U30" i="6" s="1"/>
  <c r="O88" i="7"/>
  <c r="K51" i="7"/>
  <c r="K50" i="7"/>
  <c r="K40" i="7"/>
  <c r="K41" i="7"/>
  <c r="K33" i="7"/>
  <c r="K32" i="7"/>
  <c r="K25" i="7"/>
  <c r="K24" i="7"/>
  <c r="K19" i="7"/>
  <c r="K18" i="7"/>
  <c r="D7" i="6"/>
  <c r="E7" i="6" s="1"/>
  <c r="F7" i="6" s="1"/>
  <c r="G7" i="6" s="1"/>
  <c r="D6" i="6"/>
  <c r="E6" i="6" s="1"/>
  <c r="F6" i="6" s="1"/>
  <c r="G6" i="6" s="1"/>
  <c r="D5" i="6"/>
  <c r="E5" i="6" s="1"/>
  <c r="F5" i="6" s="1"/>
  <c r="G5" i="6" s="1"/>
  <c r="D4" i="6"/>
  <c r="E4" i="6" s="1"/>
  <c r="F4" i="6" s="1"/>
  <c r="G4" i="6" s="1"/>
  <c r="D9" i="6"/>
  <c r="E9" i="6" s="1"/>
  <c r="F9" i="6" s="1"/>
  <c r="G9" i="6" s="1"/>
  <c r="D3" i="6"/>
  <c r="E3" i="6" s="1"/>
  <c r="F3" i="6" s="1"/>
  <c r="G3" i="6" s="1"/>
  <c r="D8" i="6"/>
  <c r="E8" i="6" s="1"/>
  <c r="F8" i="6" s="1"/>
  <c r="G8" i="6" s="1"/>
  <c r="D2" i="6"/>
  <c r="N87" i="7"/>
  <c r="N88" i="7" s="1"/>
  <c r="D61" i="7"/>
  <c r="D83" i="7"/>
  <c r="D68" i="7"/>
  <c r="D66" i="7"/>
  <c r="D69" i="7"/>
  <c r="D64" i="7"/>
  <c r="D78" i="7"/>
  <c r="D77" i="7"/>
  <c r="D84" i="7"/>
  <c r="D62" i="7"/>
  <c r="D75" i="7"/>
  <c r="D63" i="7"/>
  <c r="D67" i="7"/>
  <c r="D76" i="7"/>
  <c r="D79" i="7"/>
  <c r="D65" i="7"/>
  <c r="D80" i="7"/>
  <c r="D72" i="7"/>
  <c r="D70" i="7"/>
  <c r="D81" i="7"/>
  <c r="S2" i="6"/>
  <c r="S3" i="6"/>
  <c r="K57" i="7"/>
  <c r="K26" i="7"/>
  <c r="K55" i="7"/>
  <c r="K44" i="7"/>
  <c r="K34" i="7"/>
  <c r="K54" i="7"/>
  <c r="K43" i="7"/>
  <c r="K31" i="7"/>
  <c r="K21" i="7"/>
  <c r="K53" i="7"/>
  <c r="K42" i="7"/>
  <c r="K30" i="7"/>
  <c r="K20" i="7"/>
  <c r="K52" i="7"/>
  <c r="K39" i="7"/>
  <c r="K29" i="7"/>
  <c r="K17" i="7"/>
  <c r="K49" i="7"/>
  <c r="K48" i="7"/>
  <c r="K38" i="7"/>
  <c r="K28" i="7"/>
  <c r="K16" i="7"/>
  <c r="K47" i="7"/>
  <c r="K37" i="7"/>
  <c r="K27" i="7"/>
  <c r="K46" i="7"/>
  <c r="K36" i="7"/>
  <c r="K45" i="7"/>
  <c r="K35" i="7"/>
  <c r="K23" i="7"/>
  <c r="K22" i="7"/>
  <c r="D6" i="7"/>
  <c r="D8" i="7"/>
  <c r="D10" i="7"/>
  <c r="D12" i="7"/>
  <c r="D4" i="7"/>
  <c r="G14" i="6"/>
  <c r="H14" i="6" s="1"/>
  <c r="D14" i="6"/>
  <c r="H10" i="2"/>
  <c r="M30" i="6" l="1"/>
  <c r="K31" i="6"/>
  <c r="U31" i="6" s="1"/>
  <c r="E2" i="6"/>
  <c r="F2" i="6" s="1"/>
  <c r="D10" i="6"/>
  <c r="R16" i="6"/>
  <c r="R17" i="6"/>
  <c r="R22" i="6"/>
  <c r="Q20" i="6"/>
  <c r="R23" i="6"/>
  <c r="Q21" i="6"/>
  <c r="R24" i="6"/>
  <c r="Q22" i="6"/>
  <c r="R15" i="6"/>
  <c r="Q23" i="6"/>
  <c r="R18" i="6"/>
  <c r="Q16" i="6"/>
  <c r="Q24" i="6"/>
  <c r="R19" i="6"/>
  <c r="Q17" i="6"/>
  <c r="Q15" i="6"/>
  <c r="R20" i="6"/>
  <c r="Q18" i="6"/>
  <c r="R21" i="6"/>
  <c r="Q19" i="6"/>
  <c r="D87" i="7"/>
  <c r="D89" i="7" s="1"/>
  <c r="D20" i="6"/>
  <c r="D21" i="6"/>
  <c r="D22" i="6"/>
  <c r="D23" i="6"/>
  <c r="D16" i="6"/>
  <c r="D24" i="6"/>
  <c r="D17" i="6"/>
  <c r="D15" i="6"/>
  <c r="D18" i="6"/>
  <c r="D19" i="6"/>
  <c r="G15" i="6"/>
  <c r="G16" i="6" s="1"/>
  <c r="G17" i="6" s="1"/>
  <c r="G18" i="6" s="1"/>
  <c r="G19" i="6" s="1"/>
  <c r="G20" i="6" s="1"/>
  <c r="G21" i="6" s="1"/>
  <c r="G22" i="6" s="1"/>
  <c r="G23" i="6" s="1"/>
  <c r="E14" i="6"/>
  <c r="G79" i="2" l="1"/>
  <c r="I79" i="2" s="1"/>
  <c r="D88" i="7"/>
  <c r="K32" i="6"/>
  <c r="V32" i="6" s="1"/>
  <c r="M31" i="6"/>
  <c r="F10" i="6"/>
  <c r="G2" i="6"/>
  <c r="G10" i="6" s="1"/>
  <c r="R25" i="6"/>
  <c r="Q25" i="6"/>
  <c r="M34" i="2" s="1"/>
  <c r="K56" i="7"/>
  <c r="K58" i="7" s="1"/>
  <c r="H17" i="6"/>
  <c r="J17" i="6" s="1"/>
  <c r="M17" i="6" s="1"/>
  <c r="H22" i="6"/>
  <c r="J22" i="6" s="1"/>
  <c r="M22" i="6" s="1"/>
  <c r="G24" i="6"/>
  <c r="S15" i="6"/>
  <c r="H15" i="6"/>
  <c r="S23" i="6"/>
  <c r="H23" i="6"/>
  <c r="J23" i="6" s="1"/>
  <c r="M23" i="6" s="1"/>
  <c r="T16" i="6"/>
  <c r="H16" i="6"/>
  <c r="J16" i="6" s="1"/>
  <c r="M16" i="6" s="1"/>
  <c r="S19" i="6"/>
  <c r="H19" i="6"/>
  <c r="J19" i="6" s="1"/>
  <c r="M19" i="6" s="1"/>
  <c r="S21" i="6"/>
  <c r="H21" i="6"/>
  <c r="J21" i="6" s="1"/>
  <c r="M21" i="6" s="1"/>
  <c r="T24" i="6"/>
  <c r="H24" i="6"/>
  <c r="T18" i="6"/>
  <c r="H18" i="6"/>
  <c r="J18" i="6" s="1"/>
  <c r="M18" i="6" s="1"/>
  <c r="T20" i="6"/>
  <c r="H20" i="6"/>
  <c r="J20" i="6" s="1"/>
  <c r="M20" i="6" s="1"/>
  <c r="T22" i="6"/>
  <c r="S17" i="6"/>
  <c r="H19" i="2"/>
  <c r="H28" i="2"/>
  <c r="K33" i="6" l="1"/>
  <c r="V33" i="6" s="1"/>
  <c r="M32" i="6"/>
  <c r="G13" i="2"/>
  <c r="J24" i="6"/>
  <c r="M24" i="6" s="1"/>
  <c r="F15" i="6"/>
  <c r="E15" i="6" s="1"/>
  <c r="K15" i="6" s="1"/>
  <c r="J15" i="6"/>
  <c r="M15" i="6" s="1"/>
  <c r="T25" i="6"/>
  <c r="S25" i="6"/>
  <c r="G28" i="6" s="1"/>
  <c r="H25" i="6"/>
  <c r="F16" i="6"/>
  <c r="E16" i="6" s="1"/>
  <c r="K16" i="6" s="1"/>
  <c r="K34" i="6" l="1"/>
  <c r="V34" i="6" s="1"/>
  <c r="M33" i="6"/>
  <c r="G75" i="2"/>
  <c r="I75" i="2" s="1"/>
  <c r="G74" i="2"/>
  <c r="I74" i="2" s="1"/>
  <c r="H13" i="2"/>
  <c r="J25" i="6"/>
  <c r="G23" i="2" s="1"/>
  <c r="G32" i="6"/>
  <c r="G33" i="6" s="1"/>
  <c r="C35" i="6" s="1"/>
  <c r="N15" i="6"/>
  <c r="H6" i="6"/>
  <c r="H5" i="6"/>
  <c r="H4" i="6"/>
  <c r="H3" i="6"/>
  <c r="N16" i="6"/>
  <c r="F17" i="6"/>
  <c r="E17" i="6" s="1"/>
  <c r="K17" i="6" s="1"/>
  <c r="I18" i="2" l="1"/>
  <c r="K35" i="6"/>
  <c r="V35" i="6" s="1"/>
  <c r="M34" i="6"/>
  <c r="G82" i="2"/>
  <c r="I82" i="2" s="1"/>
  <c r="R30" i="6"/>
  <c r="O29" i="6"/>
  <c r="N17" i="6"/>
  <c r="C42" i="6"/>
  <c r="C43" i="6"/>
  <c r="C38" i="6"/>
  <c r="C39" i="6"/>
  <c r="C36" i="6"/>
  <c r="C41" i="6"/>
  <c r="C40" i="6"/>
  <c r="C37" i="6"/>
  <c r="F18" i="6"/>
  <c r="E18" i="6" s="1"/>
  <c r="K18" i="6" s="1"/>
  <c r="M35" i="6" l="1"/>
  <c r="K36" i="6"/>
  <c r="U36" i="6" s="1"/>
  <c r="A75" i="3"/>
  <c r="M60" i="2" s="1"/>
  <c r="A78" i="3"/>
  <c r="A77" i="3"/>
  <c r="A76" i="3"/>
  <c r="R31" i="6"/>
  <c r="T30" i="6"/>
  <c r="A69" i="3"/>
  <c r="L54" i="2" s="1"/>
  <c r="A71" i="3"/>
  <c r="L55" i="2" s="1"/>
  <c r="A72" i="3"/>
  <c r="L59" i="2" s="1"/>
  <c r="A73" i="3"/>
  <c r="L58" i="2" s="1"/>
  <c r="A68" i="3"/>
  <c r="L51" i="2" s="1"/>
  <c r="A70" i="3"/>
  <c r="L52" i="2" s="1"/>
  <c r="A67" i="3"/>
  <c r="L49" i="2" s="1"/>
  <c r="A205" i="3"/>
  <c r="A206" i="3"/>
  <c r="B45" i="1" s="1"/>
  <c r="A107" i="3"/>
  <c r="E53" i="1" s="1"/>
  <c r="A106" i="3"/>
  <c r="A108" i="3"/>
  <c r="Q43" i="1" s="1"/>
  <c r="A203" i="3"/>
  <c r="B12" i="1" s="1"/>
  <c r="A204" i="3"/>
  <c r="B27" i="1" s="1"/>
  <c r="A150" i="3"/>
  <c r="F45" i="2" s="1"/>
  <c r="A30" i="3"/>
  <c r="A33" i="3"/>
  <c r="A32" i="3"/>
  <c r="A34" i="3"/>
  <c r="A16" i="3"/>
  <c r="A120" i="3"/>
  <c r="F39" i="2" s="1"/>
  <c r="A121" i="3"/>
  <c r="F42" i="2" s="1"/>
  <c r="M36" i="6"/>
  <c r="O34" i="6"/>
  <c r="P34" i="6" s="1"/>
  <c r="O36" i="6"/>
  <c r="O37" i="6"/>
  <c r="O38" i="6"/>
  <c r="O31" i="6"/>
  <c r="O39" i="6"/>
  <c r="O32" i="6"/>
  <c r="P32" i="6" s="1"/>
  <c r="O30" i="6"/>
  <c r="O33" i="6"/>
  <c r="P33" i="6" s="1"/>
  <c r="O35" i="6"/>
  <c r="A138" i="3"/>
  <c r="M33" i="2" s="1"/>
  <c r="A139" i="3"/>
  <c r="A135" i="3"/>
  <c r="A137" i="3"/>
  <c r="A134" i="3"/>
  <c r="A136" i="3"/>
  <c r="A216" i="3"/>
  <c r="A50" i="2" s="1"/>
  <c r="A220" i="3"/>
  <c r="C57" i="2" s="1"/>
  <c r="A217" i="3"/>
  <c r="D50" i="2" s="1"/>
  <c r="A218" i="3"/>
  <c r="A53" i="2" s="1"/>
  <c r="A219" i="3"/>
  <c r="D53" i="2" s="1"/>
  <c r="A162" i="3"/>
  <c r="N18" i="6"/>
  <c r="A42" i="3"/>
  <c r="A19" i="3"/>
  <c r="I5" i="2" s="1"/>
  <c r="F19" i="6"/>
  <c r="E19" i="6" s="1"/>
  <c r="K19" i="6" s="1"/>
  <c r="A127" i="3"/>
  <c r="A39" i="3"/>
  <c r="A131" i="3"/>
  <c r="F23" i="2" s="1"/>
  <c r="A132" i="3"/>
  <c r="F28" i="2" s="1"/>
  <c r="A133" i="3"/>
  <c r="F29" i="2" s="1"/>
  <c r="A21" i="3"/>
  <c r="A126" i="3"/>
  <c r="A129" i="3"/>
  <c r="F30" i="2" s="1"/>
  <c r="A128" i="3"/>
  <c r="A130" i="3"/>
  <c r="P35" i="6" l="1"/>
  <c r="K37" i="6"/>
  <c r="U37" i="6" s="1"/>
  <c r="U40" i="6" s="1"/>
  <c r="G65" i="2"/>
  <c r="B65" i="2"/>
  <c r="C65" i="2"/>
  <c r="AC70" i="6"/>
  <c r="N59" i="2" s="1"/>
  <c r="AC69" i="6"/>
  <c r="N58" i="2" s="1"/>
  <c r="R32" i="6"/>
  <c r="T31" i="6"/>
  <c r="P30" i="6"/>
  <c r="P31" i="6"/>
  <c r="L5" i="5"/>
  <c r="B5" i="5"/>
  <c r="G5" i="5"/>
  <c r="C5" i="5"/>
  <c r="P36" i="6"/>
  <c r="N19" i="6"/>
  <c r="F20" i="6"/>
  <c r="E20" i="6" s="1"/>
  <c r="K20" i="6" s="1"/>
  <c r="O54" i="1"/>
  <c r="N54" i="1"/>
  <c r="M54" i="1"/>
  <c r="L54" i="1"/>
  <c r="K54" i="1"/>
  <c r="J54" i="1"/>
  <c r="I54" i="1"/>
  <c r="H54" i="1"/>
  <c r="A210" i="3"/>
  <c r="A209" i="3"/>
  <c r="A211" i="3"/>
  <c r="A212" i="3"/>
  <c r="A213" i="3"/>
  <c r="A214" i="3"/>
  <c r="A215" i="3"/>
  <c r="M37" i="6" l="1"/>
  <c r="K38" i="6"/>
  <c r="V38" i="6" s="1"/>
  <c r="P37" i="6"/>
  <c r="R33" i="6"/>
  <c r="S32" i="6"/>
  <c r="K39" i="6"/>
  <c r="M38" i="6"/>
  <c r="N20" i="6"/>
  <c r="F21" i="6"/>
  <c r="E21" i="6" s="1"/>
  <c r="K21" i="6" s="1"/>
  <c r="A174" i="3"/>
  <c r="E15" i="4" s="1"/>
  <c r="A202" i="3"/>
  <c r="E47" i="4" s="1"/>
  <c r="A201" i="3"/>
  <c r="E46" i="4" s="1"/>
  <c r="A200" i="3"/>
  <c r="E45" i="4" s="1"/>
  <c r="A199" i="3"/>
  <c r="E44" i="4" s="1"/>
  <c r="A198" i="3"/>
  <c r="E43" i="4" s="1"/>
  <c r="A197" i="3"/>
  <c r="E42" i="4" s="1"/>
  <c r="A196" i="3"/>
  <c r="E41" i="4" s="1"/>
  <c r="A195" i="3"/>
  <c r="E40" i="4" s="1"/>
  <c r="A194" i="3"/>
  <c r="E39" i="4" s="1"/>
  <c r="A193" i="3"/>
  <c r="E38" i="4" s="1"/>
  <c r="A192" i="3"/>
  <c r="E35" i="4" s="1"/>
  <c r="A191" i="3"/>
  <c r="E34" i="4" s="1"/>
  <c r="A190" i="3"/>
  <c r="E33" i="4" s="1"/>
  <c r="A189" i="3"/>
  <c r="E32" i="4" s="1"/>
  <c r="A188" i="3"/>
  <c r="E31" i="4" s="1"/>
  <c r="A187" i="3"/>
  <c r="E30" i="4" s="1"/>
  <c r="A186" i="3"/>
  <c r="E29" i="4" s="1"/>
  <c r="A185" i="3"/>
  <c r="E28" i="4" s="1"/>
  <c r="A184" i="3"/>
  <c r="E27" i="4" s="1"/>
  <c r="A183" i="3"/>
  <c r="E26" i="4" s="1"/>
  <c r="A182" i="3"/>
  <c r="E23" i="4" s="1"/>
  <c r="A181" i="3"/>
  <c r="E22" i="4" s="1"/>
  <c r="A180" i="3"/>
  <c r="E21" i="4" s="1"/>
  <c r="A179" i="3"/>
  <c r="E20" i="4" s="1"/>
  <c r="A178" i="3"/>
  <c r="E19" i="4" s="1"/>
  <c r="A177" i="3"/>
  <c r="E18" i="4" s="1"/>
  <c r="A176" i="3"/>
  <c r="E17" i="4" s="1"/>
  <c r="A175" i="3"/>
  <c r="E16" i="4" s="1"/>
  <c r="A173" i="3"/>
  <c r="E14" i="4" s="1"/>
  <c r="A172" i="3"/>
  <c r="E13" i="4" s="1"/>
  <c r="A171" i="3"/>
  <c r="E12" i="4" s="1"/>
  <c r="A170" i="3"/>
  <c r="E11" i="4" s="1"/>
  <c r="J32" i="4"/>
  <c r="G32" i="4"/>
  <c r="J35" i="4"/>
  <c r="G35" i="4"/>
  <c r="J34" i="4"/>
  <c r="G34" i="4"/>
  <c r="J17" i="4"/>
  <c r="G17" i="4"/>
  <c r="J45" i="4"/>
  <c r="J46" i="4"/>
  <c r="J47" i="4"/>
  <c r="G46" i="4"/>
  <c r="G47" i="4"/>
  <c r="G12" i="4"/>
  <c r="G13" i="4"/>
  <c r="G14" i="4"/>
  <c r="G15" i="4"/>
  <c r="G16" i="4"/>
  <c r="G18" i="4"/>
  <c r="G19" i="4"/>
  <c r="G20" i="4"/>
  <c r="G21" i="4"/>
  <c r="G22" i="4"/>
  <c r="G23" i="4"/>
  <c r="G26" i="4"/>
  <c r="G27" i="4"/>
  <c r="G28" i="4"/>
  <c r="G29" i="4"/>
  <c r="G30" i="4"/>
  <c r="G31" i="4"/>
  <c r="G33" i="4"/>
  <c r="G38" i="4"/>
  <c r="G39" i="4"/>
  <c r="G40" i="4"/>
  <c r="G41" i="4"/>
  <c r="G42" i="4"/>
  <c r="G43" i="4"/>
  <c r="G44" i="4"/>
  <c r="G45" i="4"/>
  <c r="G11" i="4"/>
  <c r="J44" i="4"/>
  <c r="J43" i="4"/>
  <c r="J42" i="4"/>
  <c r="J41" i="4"/>
  <c r="J40" i="4"/>
  <c r="J39" i="4"/>
  <c r="J38" i="4"/>
  <c r="J33" i="4"/>
  <c r="J31" i="4"/>
  <c r="J30" i="4"/>
  <c r="J29" i="4"/>
  <c r="J28" i="4"/>
  <c r="J27" i="4"/>
  <c r="J26" i="4"/>
  <c r="J23" i="4"/>
  <c r="J22" i="4"/>
  <c r="J21" i="4"/>
  <c r="J20" i="4"/>
  <c r="J19" i="4"/>
  <c r="J18" i="4"/>
  <c r="J16" i="4"/>
  <c r="J15" i="4"/>
  <c r="J14" i="4"/>
  <c r="J13" i="4"/>
  <c r="J12" i="4"/>
  <c r="J11" i="4"/>
  <c r="A9" i="4"/>
  <c r="A117" i="3"/>
  <c r="A40" i="3"/>
  <c r="A38" i="3"/>
  <c r="A43" i="3"/>
  <c r="A99" i="3"/>
  <c r="A100" i="3"/>
  <c r="A101" i="3"/>
  <c r="A102" i="3"/>
  <c r="A48" i="3"/>
  <c r="A49" i="3"/>
  <c r="A50" i="3"/>
  <c r="A51" i="3"/>
  <c r="A94" i="3"/>
  <c r="A64" i="3"/>
  <c r="A90" i="3"/>
  <c r="A89" i="3"/>
  <c r="A88" i="3"/>
  <c r="A44" i="3"/>
  <c r="A31" i="3"/>
  <c r="A11" i="3"/>
  <c r="F6" i="2" s="1"/>
  <c r="A10" i="3"/>
  <c r="A12" i="3"/>
  <c r="A13" i="3"/>
  <c r="F8" i="2" s="1"/>
  <c r="A14" i="3"/>
  <c r="F10" i="2" s="1"/>
  <c r="A15" i="3"/>
  <c r="F13" i="2" s="1"/>
  <c r="A17" i="3"/>
  <c r="A18" i="3"/>
  <c r="I4" i="2" s="1"/>
  <c r="A20" i="3"/>
  <c r="I6" i="2" s="1"/>
  <c r="A22" i="3"/>
  <c r="A23" i="3"/>
  <c r="A24" i="3"/>
  <c r="A25" i="3"/>
  <c r="A26" i="3"/>
  <c r="A27" i="3"/>
  <c r="L2" i="6" s="1"/>
  <c r="A28" i="3"/>
  <c r="L3" i="6" s="1"/>
  <c r="A29" i="3"/>
  <c r="A35" i="3"/>
  <c r="A36" i="3"/>
  <c r="A37" i="3"/>
  <c r="A41" i="3"/>
  <c r="A45" i="3"/>
  <c r="A46" i="3"/>
  <c r="A47" i="3"/>
  <c r="A52" i="3"/>
  <c r="A53" i="3"/>
  <c r="A54" i="3"/>
  <c r="A55" i="3"/>
  <c r="A58" i="3"/>
  <c r="A59" i="3"/>
  <c r="A60" i="3"/>
  <c r="A61" i="3"/>
  <c r="F31" i="2" s="1"/>
  <c r="A62" i="3"/>
  <c r="A63" i="3"/>
  <c r="A65" i="3"/>
  <c r="A66" i="3"/>
  <c r="L48" i="2" s="1"/>
  <c r="A74" i="3"/>
  <c r="A91" i="3"/>
  <c r="A92" i="3"/>
  <c r="A93" i="3"/>
  <c r="A95" i="3"/>
  <c r="A96" i="3"/>
  <c r="A97" i="3"/>
  <c r="A98" i="3"/>
  <c r="A103" i="3"/>
  <c r="A104" i="3"/>
  <c r="A105" i="3"/>
  <c r="A109" i="3"/>
  <c r="A110" i="3"/>
  <c r="A111" i="3"/>
  <c r="F12" i="2" s="1"/>
  <c r="A112" i="3"/>
  <c r="A113" i="3"/>
  <c r="A114" i="3"/>
  <c r="A115" i="3"/>
  <c r="A116" i="3"/>
  <c r="A118" i="3"/>
  <c r="A119" i="3"/>
  <c r="A122" i="3"/>
  <c r="A123" i="3"/>
  <c r="A124" i="3"/>
  <c r="F14" i="2" s="1"/>
  <c r="A125" i="3"/>
  <c r="A140" i="3"/>
  <c r="A141" i="3"/>
  <c r="A142" i="3"/>
  <c r="A143" i="3"/>
  <c r="A144" i="3"/>
  <c r="F16" i="2" s="1"/>
  <c r="G37" i="2" s="1"/>
  <c r="H37" i="2" s="1"/>
  <c r="A145" i="3"/>
  <c r="A146" i="3"/>
  <c r="A147" i="3"/>
  <c r="A148" i="3"/>
  <c r="A149" i="3"/>
  <c r="A151" i="3"/>
  <c r="F11" i="2" s="1"/>
  <c r="A152" i="3"/>
  <c r="A153" i="3"/>
  <c r="A154" i="3"/>
  <c r="E5" i="4" s="1"/>
  <c r="A155" i="3"/>
  <c r="A6" i="4" s="1"/>
  <c r="A156" i="3"/>
  <c r="A157" i="3"/>
  <c r="A158" i="3"/>
  <c r="A159" i="3"/>
  <c r="A160" i="3"/>
  <c r="A161" i="3"/>
  <c r="A163" i="3"/>
  <c r="A164" i="3"/>
  <c r="A165" i="3"/>
  <c r="A166" i="3"/>
  <c r="A167" i="3"/>
  <c r="A168" i="3"/>
  <c r="A169" i="3"/>
  <c r="A9" i="3"/>
  <c r="F4" i="2" s="1"/>
  <c r="K15" i="4" l="1"/>
  <c r="K44" i="4"/>
  <c r="K29" i="4"/>
  <c r="K38" i="4"/>
  <c r="K40" i="4"/>
  <c r="K46" i="4"/>
  <c r="K32" i="4"/>
  <c r="F65" i="2"/>
  <c r="A65" i="2"/>
  <c r="I65" i="2"/>
  <c r="H65" i="2"/>
  <c r="E65" i="2"/>
  <c r="F90" i="2"/>
  <c r="D65" i="2"/>
  <c r="K21" i="4"/>
  <c r="K17" i="4"/>
  <c r="K26" i="4"/>
  <c r="K14" i="4"/>
  <c r="M39" i="6"/>
  <c r="P39" i="6" s="1"/>
  <c r="V39" i="6"/>
  <c r="V40" i="6" s="1"/>
  <c r="P38" i="6"/>
  <c r="R34" i="6"/>
  <c r="S33" i="6"/>
  <c r="M13" i="1"/>
  <c r="L27" i="1"/>
  <c r="K5" i="5"/>
  <c r="E10" i="4"/>
  <c r="F5" i="5"/>
  <c r="C10" i="4"/>
  <c r="D5" i="5"/>
  <c r="N5" i="5"/>
  <c r="M5" i="5"/>
  <c r="A5" i="5"/>
  <c r="G10" i="4"/>
  <c r="I5" i="5"/>
  <c r="J5" i="5"/>
  <c r="H5" i="5"/>
  <c r="D10" i="4"/>
  <c r="E5" i="5"/>
  <c r="E51" i="4"/>
  <c r="K12" i="4"/>
  <c r="K16" i="4"/>
  <c r="K27" i="4"/>
  <c r="K31" i="4"/>
  <c r="K43" i="4"/>
  <c r="F10" i="4"/>
  <c r="N21" i="6"/>
  <c r="F22" i="6"/>
  <c r="E22" i="6" s="1"/>
  <c r="K22" i="6" s="1"/>
  <c r="J50" i="4"/>
  <c r="K19" i="4"/>
  <c r="K20" i="4"/>
  <c r="K30" i="4"/>
  <c r="K39" i="4"/>
  <c r="K45" i="4"/>
  <c r="K41" i="4"/>
  <c r="K33" i="4"/>
  <c r="K28" i="4"/>
  <c r="K22" i="4"/>
  <c r="K18" i="4"/>
  <c r="K13" i="4"/>
  <c r="K47" i="4"/>
  <c r="K35" i="4"/>
  <c r="I10" i="4"/>
  <c r="A10" i="4"/>
  <c r="I50" i="4"/>
  <c r="J10" i="4"/>
  <c r="K10" i="4"/>
  <c r="E3" i="4"/>
  <c r="E50" i="4"/>
  <c r="K34" i="4"/>
  <c r="E52" i="4"/>
  <c r="H10" i="4"/>
  <c r="K11" i="4"/>
  <c r="K42" i="4"/>
  <c r="C32" i="6" l="1"/>
  <c r="B97" i="7"/>
  <c r="P40" i="6"/>
  <c r="R35" i="6"/>
  <c r="S34" i="6"/>
  <c r="N22" i="6"/>
  <c r="F24" i="6"/>
  <c r="E24" i="6" s="1"/>
  <c r="K24" i="6" s="1"/>
  <c r="F23" i="6"/>
  <c r="E23" i="6" s="1"/>
  <c r="K23" i="6" s="1"/>
  <c r="K50" i="4"/>
  <c r="R36" i="6" l="1"/>
  <c r="S35" i="6"/>
  <c r="N24" i="6"/>
  <c r="N23" i="6"/>
  <c r="K25" i="6"/>
  <c r="H20" i="2" s="1"/>
  <c r="H24" i="2" s="1"/>
  <c r="R37" i="6" l="1"/>
  <c r="T36" i="6"/>
  <c r="N25" i="6"/>
  <c r="B20" i="7" s="1"/>
  <c r="M25" i="6"/>
  <c r="I10" i="2" s="1"/>
  <c r="K5" i="2" l="1"/>
  <c r="K6" i="2" s="1"/>
  <c r="E33" i="7"/>
  <c r="E25" i="7"/>
  <c r="E32" i="7"/>
  <c r="E41" i="7"/>
  <c r="R38" i="6"/>
  <c r="T37" i="6"/>
  <c r="T40" i="6" s="1"/>
  <c r="G81" i="2" s="1"/>
  <c r="I81" i="2" s="1"/>
  <c r="E18" i="7"/>
  <c r="E40" i="7"/>
  <c r="E24" i="7"/>
  <c r="E19" i="7"/>
  <c r="E50" i="7"/>
  <c r="E51" i="7"/>
  <c r="E47" i="7"/>
  <c r="E45" i="7"/>
  <c r="E39" i="7"/>
  <c r="E43" i="7"/>
  <c r="E34" i="7"/>
  <c r="E36" i="7"/>
  <c r="E30" i="7"/>
  <c r="E57" i="7"/>
  <c r="E55" i="7"/>
  <c r="E53" i="7"/>
  <c r="E49" i="7"/>
  <c r="E22" i="7"/>
  <c r="E28" i="7"/>
  <c r="E26" i="7"/>
  <c r="E38" i="7"/>
  <c r="E46" i="7"/>
  <c r="E42" i="7"/>
  <c r="E44" i="7"/>
  <c r="E20" i="7"/>
  <c r="E16" i="7"/>
  <c r="E21" i="7"/>
  <c r="E17" i="7"/>
  <c r="E23" i="7"/>
  <c r="E27" i="7"/>
  <c r="E29" i="7"/>
  <c r="E52" i="7"/>
  <c r="E56" i="7"/>
  <c r="E54" i="7"/>
  <c r="E48" i="7"/>
  <c r="E31" i="7"/>
  <c r="E37" i="7"/>
  <c r="E35" i="7"/>
  <c r="R39" i="6" l="1"/>
  <c r="S39" i="6" s="1"/>
  <c r="S38" i="6"/>
  <c r="G6" i="5"/>
  <c r="I6" i="5" s="1"/>
  <c r="E58" i="7"/>
  <c r="H15" i="2"/>
  <c r="G7" i="5" l="1"/>
  <c r="I7" i="5" s="1"/>
  <c r="S40" i="6"/>
  <c r="G80" i="2" s="1"/>
  <c r="I80" i="2" s="1"/>
  <c r="G90" i="2" s="1"/>
  <c r="A285" i="3" l="1"/>
  <c r="C84" i="2" s="1"/>
  <c r="F84" i="2" s="1"/>
  <c r="B223" i="3"/>
  <c r="A22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Cécile</author>
  </authors>
  <commentList>
    <comment ref="A22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Cécile:</t>
        </r>
        <r>
          <rPr>
            <sz val="9"/>
            <color indexed="81"/>
            <rFont val="Tahoma"/>
            <family val="2"/>
          </rPr>
          <t xml:space="preserve">
Ne pas effacer, affichage conditionné</t>
        </r>
      </text>
    </comment>
  </commentList>
</comments>
</file>

<file path=xl/sharedStrings.xml><?xml version="1.0" encoding="utf-8"?>
<sst xmlns="http://schemas.openxmlformats.org/spreadsheetml/2006/main" count="1607" uniqueCount="1203">
  <si>
    <t>Dimension ombriere</t>
  </si>
  <si>
    <t>Définir la quantité de commande</t>
  </si>
  <si>
    <t>Finition A</t>
  </si>
  <si>
    <t>Remise client</t>
  </si>
  <si>
    <t>Désignation</t>
  </si>
  <si>
    <t>Référence</t>
  </si>
  <si>
    <t>* Ceci est une estimation (en cours de validation)</t>
  </si>
  <si>
    <t>PIEDS (lot de 2) 2400 7016</t>
  </si>
  <si>
    <t>FINITION LAT. A +1 LIGNE 7016</t>
  </si>
  <si>
    <t>Selectionner votre format de toiture</t>
  </si>
  <si>
    <t>FINITION LAT. A LIGNE AV+AR 7016</t>
  </si>
  <si>
    <t>Langue</t>
  </si>
  <si>
    <t>Français</t>
  </si>
  <si>
    <t>English</t>
  </si>
  <si>
    <t>Italiano</t>
  </si>
  <si>
    <t>Traduction Doc</t>
  </si>
  <si>
    <t>i.e. : shade 4x2, 2 feet (attached to the facade)</t>
  </si>
  <si>
    <t>The prices do not include the PV modules and the fixings to the ground and the wall</t>
  </si>
  <si>
    <t>i.e. : Shade 4x2, 4 feet</t>
  </si>
  <si>
    <t>Select the size</t>
  </si>
  <si>
    <t>Select the quantity of feet</t>
  </si>
  <si>
    <t>Module's power in Watt</t>
  </si>
  <si>
    <t>Shade 1</t>
  </si>
  <si>
    <t>Shade 2</t>
  </si>
  <si>
    <t>Shade 3</t>
  </si>
  <si>
    <t>Shade 4</t>
  </si>
  <si>
    <t>Shade 5</t>
  </si>
  <si>
    <t>Shade 6</t>
  </si>
  <si>
    <t>No</t>
  </si>
  <si>
    <t>Reference</t>
  </si>
  <si>
    <t>Packaging dimension</t>
  </si>
  <si>
    <t>Part's Name</t>
  </si>
  <si>
    <t>Unit Price per reference</t>
  </si>
  <si>
    <t>FEET (set of 2) 2400 7016</t>
  </si>
  <si>
    <t>DISCOUNT</t>
  </si>
  <si>
    <t>Choisissez votre language 
Chose your language</t>
  </si>
  <si>
    <t>* Estimated price (to be confirmed)</t>
  </si>
  <si>
    <t>Maximum stackable quantity : 7 roof elements</t>
  </si>
  <si>
    <t>OPTION COULEUR</t>
  </si>
  <si>
    <t>yes</t>
  </si>
  <si>
    <t>Yes</t>
  </si>
  <si>
    <t>Couleur</t>
  </si>
  <si>
    <t xml:space="preserve">Couleur </t>
  </si>
  <si>
    <t>Choix autre couleur</t>
  </si>
  <si>
    <t>XXXX = Code Couleur</t>
  </si>
  <si>
    <t>PIEDS (lot de 2) 2400 9010</t>
  </si>
  <si>
    <t>FINITION LAT. A LIGNE AV+AR 9010</t>
  </si>
  <si>
    <t>FINITION LAT. A +1 LIGNE 9010</t>
  </si>
  <si>
    <t>PIEDS (lot de 2) 2400 XXXX</t>
  </si>
  <si>
    <t>FINITION LAT. A LIGNE AV+AR XXXX</t>
  </si>
  <si>
    <t>FINITION LAT. A +1 LIGNE XXXX</t>
  </si>
  <si>
    <t>Option A: side cover 7016 (First &amp; Last row)</t>
  </si>
  <si>
    <t>Option A: side cover  7016 (Intermediate rows)</t>
  </si>
  <si>
    <t>OTHER COLORS</t>
  </si>
  <si>
    <t>Option A: side cover  9010 (First &amp; Last row)</t>
  </si>
  <si>
    <t>Option A: side cover  9010 (Intermediate rows)</t>
  </si>
  <si>
    <t>Option A: side cover  XXXX (First &amp; Last row)</t>
  </si>
  <si>
    <t>Option A: side cover  XXXX (Intermediate rows)</t>
  </si>
  <si>
    <t>XXXX = Color Code</t>
  </si>
  <si>
    <t>UDV</t>
  </si>
  <si>
    <t>Les plaques polycarbonates seront livrées (Quantité respectant nos UDV).</t>
  </si>
  <si>
    <t>POLYCARBONATE OMBRIERE 2 COLONNES</t>
  </si>
  <si>
    <t>POLYCARBONATE OMBRIERE 1,5 COLONNES</t>
  </si>
  <si>
    <t>Poids (Kg)</t>
  </si>
  <si>
    <t>Prix Public unitaire €HT</t>
  </si>
  <si>
    <t>POLYCARBONATE Honeycomb 2 panels length</t>
  </si>
  <si>
    <t>POLYCARBONATE Honeycomb 1,5 panels length</t>
  </si>
  <si>
    <t>Weight (Kg)</t>
  </si>
  <si>
    <t>TOIT 2x2 60c6p 9010 (Module 1635-1676)</t>
  </si>
  <si>
    <t>TOIT 3x3 60c6p 9010 (Module 1635-1676)</t>
  </si>
  <si>
    <t>TOIT 4x2 60c6p 9010 (Module 1635-1676)</t>
  </si>
  <si>
    <t>TOIT 4x3 60c6p 9010 (Module 1635-1676)</t>
  </si>
  <si>
    <t>TOIT 2x2 60c6p XXXX (Module 1635-1676)</t>
  </si>
  <si>
    <t>TOIT 3x3 60c6p XXXX (Module 1635-1676)</t>
  </si>
  <si>
    <t>TOIT 4x2 60c6p XXXX (Module 1635-1676)</t>
  </si>
  <si>
    <t>TOIT 4x3 60c6p XXXX (Module 1635-1676)</t>
  </si>
  <si>
    <t>ROOF 2x2 60 cells 6" 7016 (Panel 1635-1676)</t>
  </si>
  <si>
    <t>ROOF 3X3 60 cells 6" 7016 (Panel 1635-1676)</t>
  </si>
  <si>
    <t>ROOF 4x2 60 cells 6" 7016 (Panel 1635-1676)</t>
  </si>
  <si>
    <t>ROOF 4X3 60 cells 6" 7016 (Panel 1635-1676)</t>
  </si>
  <si>
    <t>ROOF 2x2 60 cells 6" 9010 (Panel 1635-1676)</t>
  </si>
  <si>
    <t>ROOF 3X3 60 cells 6" 9010 (Panel 1635-1676)</t>
  </si>
  <si>
    <t>ROOF 4x2 60 cells 6" 9010 (Panel 1635-1676)</t>
  </si>
  <si>
    <t>ROOF 4X3 60 cells 6" 9010 (Panel 1635-1676)</t>
  </si>
  <si>
    <t>ROOF 2x2 60 cells 6" XXXX (Panel 1635-1676)</t>
  </si>
  <si>
    <t>ROOF 3X3 60 cells 6" XXXX (Panel 1635-1676)</t>
  </si>
  <si>
    <t>ROOF 4x2 60 cells 6" XXXX (Panel 1635-1676)</t>
  </si>
  <si>
    <t>ROOF 4X3 60 cells 6" XXXX (Panel 1635-1676)</t>
  </si>
  <si>
    <t>FEET (set of 2) 2400 XXXX (Panel 1635-1676)</t>
  </si>
  <si>
    <t>Pieds</t>
  </si>
  <si>
    <t>Feet</t>
  </si>
  <si>
    <t>Without module's lateral finishing</t>
  </si>
  <si>
    <t>Avec Sous-face</t>
  </si>
  <si>
    <t>Sans Sous-face</t>
  </si>
  <si>
    <t>TOIT 2x2 60c6p 7016 (Module 1655-1685)</t>
  </si>
  <si>
    <t>TOIT 3x3 60c6p 7016 (Module 1655-1685)</t>
  </si>
  <si>
    <t>TOIT 4x2 60c6p 7016 (Module 1655-1685)</t>
  </si>
  <si>
    <t>TOIT 4x3 60c6p 7016 (Module 1655-1685)</t>
  </si>
  <si>
    <t>ROOF 2x2 60 cells 6" 7016 (Panel 1655-1685)</t>
  </si>
  <si>
    <t>ROOF 3X3 60 cells 6" 7016 (Panel 1655-1685)</t>
  </si>
  <si>
    <t>ROOF 4x2 60 cells 6" 7016 (Panel 1655-1685)</t>
  </si>
  <si>
    <t>ROOF 4X3 60 cells 6" 7016 (Panel 1655-1685)</t>
  </si>
  <si>
    <t>TOIT 2x2 60c6p 9010 (Module 1655-1685)</t>
  </si>
  <si>
    <t>TOIT 3x3 60c6p 9010 (Module 1655-1685)</t>
  </si>
  <si>
    <t>TOIT 4x2 60c6p 9010 (Module 1655-1685)</t>
  </si>
  <si>
    <t>TOIT 4x3 60c6p 9010 (Module 1655-1685)</t>
  </si>
  <si>
    <t>ROOF 2x2 60 cells 6" 9010 (Panel 1655-1685)</t>
  </si>
  <si>
    <t>ROOF 3X3 60 cells 6" 9010 (Panel 1655-1685)</t>
  </si>
  <si>
    <t>ROOF 4x2 60 cells 6" 9010 (Panel 1655-1685)</t>
  </si>
  <si>
    <t>ROOF 4X3 60 cells 6" 9010 (Panel 1655-1685)</t>
  </si>
  <si>
    <t>TOIT 2x2 60c6p XXXX (Module 1655-1685)</t>
  </si>
  <si>
    <t>TOIT 3x3 60c6p XXXX (Module 1655-1685)</t>
  </si>
  <si>
    <t>TOIT 4x2 60c6p XXXX (Module 1655-1685)</t>
  </si>
  <si>
    <t>TOIT 4x3 60c6p XXXX (Module 1655-1685)</t>
  </si>
  <si>
    <t>ROOF 2x2 60 cells 6" XXXX (Panel 1655-1685)</t>
  </si>
  <si>
    <t>ROOF 3X3 60 cells 6" XXXX (Panel 1655-1685)</t>
  </si>
  <si>
    <t>ROOF 4x2 60 cells 6" XXXX (Panel 1655-1685)</t>
  </si>
  <si>
    <t>ROOF 4X3 60 cells 6" XXXX (Panel 1655-1685)</t>
  </si>
  <si>
    <t>Unit Price after discount</t>
  </si>
  <si>
    <t>Prix unitaire après remise €HT</t>
  </si>
  <si>
    <t>Option ceiling</t>
  </si>
  <si>
    <t>* Attention: For Ceiling option the lateral finishing are mandatory</t>
  </si>
  <si>
    <t>With ceiling</t>
  </si>
  <si>
    <t>Your order summary</t>
  </si>
  <si>
    <t>Without ceiling</t>
  </si>
  <si>
    <t>Ceiling will be delivered (according to our packaging quantities) Extra cost may apply according to location</t>
  </si>
  <si>
    <t>Qté Total</t>
  </si>
  <si>
    <t>Total Qty</t>
  </si>
  <si>
    <t>Selling Unit</t>
  </si>
  <si>
    <t>Colonne choisie</t>
  </si>
  <si>
    <t>Ex : ombrière 4x2, 2 pieds (appui façade)</t>
  </si>
  <si>
    <t>Les indications tarifaires ci-dessous n'incluent ni les modules, ni les fixations au sol et au mur</t>
  </si>
  <si>
    <t>Ex : ombrière 4x2, 4 pieds</t>
  </si>
  <si>
    <t>Avec finition latérale module</t>
  </si>
  <si>
    <t>Dimensions colis</t>
  </si>
  <si>
    <t>* : Attention : La pose de la sous-face impose obligatoirement la finition latérale module</t>
  </si>
  <si>
    <t>Listing des ombrières en commande :</t>
  </si>
  <si>
    <t>Sans finition latérale module</t>
  </si>
  <si>
    <t>KIT LED TELECOMMANDE 9.6W/M BLANC NEUTRE 2x5M</t>
  </si>
  <si>
    <t>Prix total après remise €HT</t>
  </si>
  <si>
    <t>Kit 2 Feet base for SHADOW SOLAR</t>
  </si>
  <si>
    <t>Kit LED 9.6W/m Neutral White 2*5m with remote control</t>
  </si>
  <si>
    <t>JOINT POUR ASSEMBLAGE OMBRIERES 12m</t>
  </si>
  <si>
    <t>Option LED</t>
  </si>
  <si>
    <t>KIT 2 EMBASE PIEDS OMBRIERE</t>
  </si>
  <si>
    <t>Price after discount</t>
  </si>
  <si>
    <t>KIT Assemblage</t>
  </si>
  <si>
    <t>Seal for SHADOW SOLAR lateral assembly - 12m</t>
  </si>
  <si>
    <t xml:space="preserve">Quantity option kit lateral assembly </t>
  </si>
  <si>
    <t xml:space="preserve">Kit lateral assembly </t>
  </si>
  <si>
    <t>Complément</t>
  </si>
  <si>
    <t>Complement</t>
  </si>
  <si>
    <t>KIT VISSERIE OMBRIERE NOIR</t>
  </si>
  <si>
    <t>Kit screws Shadow white</t>
  </si>
  <si>
    <t>Kit screws Shadow Black</t>
  </si>
  <si>
    <t>KIT VISSERIE OMBRIERE BLANC</t>
  </si>
  <si>
    <t>Réalisation d'assemblage</t>
  </si>
  <si>
    <t>4x</t>
  </si>
  <si>
    <t>3x</t>
  </si>
  <si>
    <t>2x</t>
  </si>
  <si>
    <t>Assemblage</t>
  </si>
  <si>
    <t>Voir onglet Assemblage</t>
  </si>
  <si>
    <t>Assembly</t>
  </si>
  <si>
    <t>Refer to Assembly Sheet</t>
  </si>
  <si>
    <t>Design of your assembly</t>
  </si>
  <si>
    <t xml:space="preserve">Junction Qty </t>
  </si>
  <si>
    <t>Summary of your project</t>
  </si>
  <si>
    <t>PIEDS (lot de 2) 3500 XXXX</t>
  </si>
  <si>
    <t>PIEDS (lot de 2) 3500 7016</t>
  </si>
  <si>
    <t>FEET (set of 2) 3500 7016</t>
  </si>
  <si>
    <t>PIEDS (lot de 2) 3500 9010</t>
  </si>
  <si>
    <t>FEET (set of 2) 3500 9010</t>
  </si>
  <si>
    <t>FEET (set of 2) 3500 XXXX</t>
  </si>
  <si>
    <t>Nb Liaison x2</t>
  </si>
  <si>
    <t>Nb Liaison x3</t>
  </si>
  <si>
    <t>Ligne 1</t>
  </si>
  <si>
    <t>Ligne 2</t>
  </si>
  <si>
    <t>Total</t>
  </si>
  <si>
    <t>Nbre Shadow/ligne</t>
  </si>
  <si>
    <t>PRT00117</t>
  </si>
  <si>
    <t>CANIVEAU 2x</t>
  </si>
  <si>
    <t>CANIVEAU 3x</t>
  </si>
  <si>
    <t>CANIVEAU 4x</t>
  </si>
  <si>
    <t>PRT00026</t>
  </si>
  <si>
    <t>PRT00016</t>
  </si>
  <si>
    <t>GOULOTTE AVANT x2</t>
  </si>
  <si>
    <t>GOULOTTE AVANT x3</t>
  </si>
  <si>
    <t>GOULOTTE ARRIERE x2</t>
  </si>
  <si>
    <t>GOULOTTE ARRIERE x3</t>
  </si>
  <si>
    <t>SPOILER x2</t>
  </si>
  <si>
    <t>SPOILER x3</t>
  </si>
  <si>
    <t>ASS.SPOILER x2</t>
  </si>
  <si>
    <t>ASS.SPOILER x3</t>
  </si>
  <si>
    <t>U ETANCHEITE INTER RANGEES x2</t>
  </si>
  <si>
    <t>U ETANCHEITE INTER RANGEES x3</t>
  </si>
  <si>
    <t>U ETANCHEITE INTER MODULE</t>
  </si>
  <si>
    <t>CALLE SERRE PANNEAU</t>
  </si>
  <si>
    <t>FERMETURE SPOILER</t>
  </si>
  <si>
    <t>PLAQUE DE JOINT ETANCHEITE</t>
  </si>
  <si>
    <t>PLAQUE EQUERRAGE</t>
  </si>
  <si>
    <t>SORTIE DE CANIVEAU</t>
  </si>
  <si>
    <t>COMPRIBANDE TRS 15/1-3</t>
  </si>
  <si>
    <t>OUTILLAGE DE MONTAGE</t>
  </si>
  <si>
    <t>PRT00105</t>
  </si>
  <si>
    <t>PDC0P00533</t>
  </si>
  <si>
    <t>PRT00106</t>
  </si>
  <si>
    <t>PRT00018</t>
  </si>
  <si>
    <t>PRT00036</t>
  </si>
  <si>
    <t>PRT00108</t>
  </si>
  <si>
    <t>PRT00017</t>
  </si>
  <si>
    <t>PRT00025</t>
  </si>
  <si>
    <t>PRT00195</t>
  </si>
  <si>
    <t>PRT00305</t>
  </si>
  <si>
    <t>ASM0P00427</t>
  </si>
  <si>
    <t>ASM0P00426</t>
  </si>
  <si>
    <t>PRT00029</t>
  </si>
  <si>
    <t>PRT00013</t>
  </si>
  <si>
    <t>PRT00028</t>
  </si>
  <si>
    <t>PRT00015</t>
  </si>
  <si>
    <t>PRT00027</t>
  </si>
  <si>
    <t>PRT00014</t>
  </si>
  <si>
    <t>Ajouter le code couleur à la référence (9010 ou 7016 ou 7016M ou ….)</t>
  </si>
  <si>
    <t>FINITION LAT. A+ 1 LIGNE</t>
  </si>
  <si>
    <t>FINITION LAT. LIGNE AV.+AR.</t>
  </si>
  <si>
    <t>PRT00302</t>
  </si>
  <si>
    <t>PRT00303</t>
  </si>
  <si>
    <t>PRT00297</t>
  </si>
  <si>
    <t>PRT00298</t>
  </si>
  <si>
    <t>PRT00300</t>
  </si>
  <si>
    <t>PRT00295</t>
  </si>
  <si>
    <t>PRT00299</t>
  </si>
  <si>
    <t>PRT00304</t>
  </si>
  <si>
    <t>ASM0P00482</t>
  </si>
  <si>
    <t>ASM0P00480</t>
  </si>
  <si>
    <t>SHAS706</t>
  </si>
  <si>
    <t>SHAS707</t>
  </si>
  <si>
    <t>Si besoin d'une palette suppplémentaire, ajout d'un forfait de 50€ pour l'emballage.</t>
  </si>
  <si>
    <t>Add the color code to the reference (9010 or 7016 or 7016M or …)</t>
  </si>
  <si>
    <t>If an additional pallet is needed, please add 50€ for packaging.</t>
  </si>
  <si>
    <t>Option sous-face</t>
  </si>
  <si>
    <t>Erreur</t>
  </si>
  <si>
    <t>Error</t>
  </si>
  <si>
    <t>Nb liaison latérale</t>
  </si>
  <si>
    <t>Nb d'embase 1er ligne</t>
  </si>
  <si>
    <t>Nb d'embase 2e ligne</t>
  </si>
  <si>
    <t>Version 4 p</t>
  </si>
  <si>
    <t>Nb lateral Junction</t>
  </si>
  <si>
    <t>Nb Junction x2</t>
  </si>
  <si>
    <t>Nb Junction x3</t>
  </si>
  <si>
    <t>Nb feet 1st line</t>
  </si>
  <si>
    <t>Nb feet 2nd line</t>
  </si>
  <si>
    <t>Nb feet base 1st line</t>
  </si>
  <si>
    <t>Nb feet base 2nd line</t>
  </si>
  <si>
    <t>Line 1</t>
  </si>
  <si>
    <t>Line 2</t>
  </si>
  <si>
    <t>4 feet version</t>
  </si>
  <si>
    <t>Nb Shadow/line</t>
  </si>
  <si>
    <t>Pensilina 1</t>
  </si>
  <si>
    <t>Pensilina 2</t>
  </si>
  <si>
    <t>Pensilina 3</t>
  </si>
  <si>
    <t>Pensilina 4</t>
  </si>
  <si>
    <t>Pensilina 5</t>
  </si>
  <si>
    <t>Pensilina 6</t>
  </si>
  <si>
    <t>Quantità da ordinare</t>
  </si>
  <si>
    <t>Potere del modulo in Watt</t>
  </si>
  <si>
    <t>Potenza installata in Watt</t>
  </si>
  <si>
    <t>Essempio Pensilina 4x2, 2 piedi (attaccato alla facciata)</t>
  </si>
  <si>
    <t>I prezzi non includono i moduli fotovoltaici e gli elementi di fissaggio al muro e a terra</t>
  </si>
  <si>
    <t>Essempio Pensilina 4x2, 4 piedi</t>
  </si>
  <si>
    <t>Selezionare la dimensione</t>
  </si>
  <si>
    <t>Selezionare la quantità di piedi</t>
  </si>
  <si>
    <t>Lista dei componenti</t>
  </si>
  <si>
    <t>Dimensione Packaging</t>
  </si>
  <si>
    <t>Peso</t>
  </si>
  <si>
    <t>Nome di componente</t>
  </si>
  <si>
    <t>Prezzo unitario per reference</t>
  </si>
  <si>
    <t>Quantita totale</t>
  </si>
  <si>
    <t>Unità acquistabili</t>
  </si>
  <si>
    <t>Prezzo unitario scontato per reference</t>
  </si>
  <si>
    <t>TETTO 2x2 60 cells 6" 7016 (Module 1635-1676)</t>
  </si>
  <si>
    <t>TETTO 3X3 60 cells 6" 7016 (Module 1635-1676)</t>
  </si>
  <si>
    <t>TETTO 4x2 60 cells 6" 7016 (Module 1635-1676)</t>
  </si>
  <si>
    <t>TETTO 4X3 60 cells 6" 7016 (Module 1635-1676)</t>
  </si>
  <si>
    <t>TETTO 2x2 60 cells 6" 7016 (Module 1655-1685)</t>
  </si>
  <si>
    <t>TETTO 3X3 60 cells 6" 7016 (Module 1655-1685)</t>
  </si>
  <si>
    <t>TETTO 4x2 60 cells 6" 7016 (Module 1655-1685)</t>
  </si>
  <si>
    <t>TETTO 4X3 60 cells 6" 7016 (Module 1655-1685)</t>
  </si>
  <si>
    <t>PIEDI (set di 2) 2400 7016</t>
  </si>
  <si>
    <t>OLTRE COLORE</t>
  </si>
  <si>
    <t>TETTO 2x2 60 cells 6" 9010 (Module 1635-1676)</t>
  </si>
  <si>
    <t>TETTO 3X3 60 cells 6" 9010 (Module 1635-1676)</t>
  </si>
  <si>
    <t>TETTO 4x2 60 cells 6" 9010 (Module 1635-1676)</t>
  </si>
  <si>
    <t>TETTO 4X3 60 cells 6" 9010 (Module 1635-1676)</t>
  </si>
  <si>
    <t>TETTO 2x2 60 cells 6" 9010 (Module 1655-1685)</t>
  </si>
  <si>
    <t>TETTO 3X3 60 cells 6" 9010 (Module 1655-1685)</t>
  </si>
  <si>
    <t>TETTO 4x2 60 cells 6" 9010 (Module 1655-1685)</t>
  </si>
  <si>
    <t>TETTO 4X3 60 cells 6" 9010 (Module 1655-1685)</t>
  </si>
  <si>
    <t>PIEDI (set di 2) 2400 9010</t>
  </si>
  <si>
    <t>Prezzo unitario per kit</t>
  </si>
  <si>
    <t>Prezzo unitario scontato per kit</t>
  </si>
  <si>
    <t>SCONTO</t>
  </si>
  <si>
    <t>Peso (kg)</t>
  </si>
  <si>
    <t>Prezzo dopo sconto</t>
  </si>
  <si>
    <t>Accessori</t>
  </si>
  <si>
    <t xml:space="preserve">Assemblaggio </t>
  </si>
  <si>
    <t>Fare riferimento a "Assemblage" Scheda</t>
  </si>
  <si>
    <t>Quantità massima impilabile: 7 elementi del tetto</t>
  </si>
  <si>
    <t>Soffitto sarà consegnato (secondo le nostre confezioni di) Costi accessori può applicare in base alla posizione</t>
  </si>
  <si>
    <t>Il tuo riepilogo dell'ordine</t>
  </si>
  <si>
    <t>TETTO 2x2 60 cells 6" XXXX (Module 1635-1676)</t>
  </si>
  <si>
    <t>TETTO 3X3 60 cells 6" XXXX (Module 1635-1676)</t>
  </si>
  <si>
    <t>TETTO 4x2 60 cells 6" XXXX (Module 1635-1676)</t>
  </si>
  <si>
    <t>TETTO 4X3 60 cells 6" XXXX (Module 1635-1676)</t>
  </si>
  <si>
    <t>TETTO 2x2 60 cells 6" XXXX (Module 1655-1685)</t>
  </si>
  <si>
    <t>TETTO 3X3 60 cells 6" XXXX (Module 1655-1685)</t>
  </si>
  <si>
    <t>TETTO 4x2 60 cells 6" XXXX (Module 1655-1685)</t>
  </si>
  <si>
    <t>TETTO 4X3 60 cells 6" XXXX (Module 1655-1685)</t>
  </si>
  <si>
    <t>PIEDI (set di 2) 2400 XXXX</t>
  </si>
  <si>
    <t>XXXX = Colore Code</t>
  </si>
  <si>
    <t>colore standard Scelta</t>
  </si>
  <si>
    <t>altro colore Scelta</t>
  </si>
  <si>
    <t>totale ordine</t>
  </si>
  <si>
    <t>Policarbonato alveolare lunghezza 2 pannelli</t>
  </si>
  <si>
    <t>Policarbonato alveolare lunghezza 1,5 pannelli</t>
  </si>
  <si>
    <t>Viti Kit Pensiline bianca</t>
  </si>
  <si>
    <t>Viti Kit Pensiline nera</t>
  </si>
  <si>
    <t>Kit 2 basa piedi per SHADOW SOLAR</t>
  </si>
  <si>
    <t>Kit LED 9.6W / m Neutral White 2 * 5m con telecomando</t>
  </si>
  <si>
    <t>Seal per il montaggio laterale SHADOW SOLARE - 12m</t>
  </si>
  <si>
    <t>Opzione kit 2 basa piedi per SHADOW SOLAR</t>
  </si>
  <si>
    <t>Opzione LED</t>
  </si>
  <si>
    <t>Quantità di kit opzionale di montaggio laterale</t>
  </si>
  <si>
    <t>Kit di monatggio laterale</t>
  </si>
  <si>
    <t>Progettazione di vostra assemblea</t>
  </si>
  <si>
    <t>Junction Quantità</t>
  </si>
  <si>
    <t>Sintesi del progetto</t>
  </si>
  <si>
    <t>PIEDI (set di 2) 3500 7016</t>
  </si>
  <si>
    <t>Selezionare la lunghezza di piedi</t>
  </si>
  <si>
    <t>PIEDI (set di 2) 3500 9010</t>
  </si>
  <si>
    <t>PIEDI (set di 2) 3500 XXXX</t>
  </si>
  <si>
    <t>Aggiungere il codice del colore al riferimento (9010 o 7016 o 7016M o ...)</t>
  </si>
  <si>
    <t>Se è necessaria una ulteriore pallet, si prega di aggiungere 50 € per il confezionamento.</t>
  </si>
  <si>
    <t>Errore</t>
  </si>
  <si>
    <t>Numeri Junction x2</t>
  </si>
  <si>
    <t>Numeri Junction x3</t>
  </si>
  <si>
    <t>Numeri piedi 1st linea</t>
  </si>
  <si>
    <t>Numeri piedi 2nd linea</t>
  </si>
  <si>
    <t>linea 1</t>
  </si>
  <si>
    <t>linea 2</t>
  </si>
  <si>
    <t>Numeri Shadow/linea</t>
  </si>
  <si>
    <t>4 piedi versione</t>
  </si>
  <si>
    <t>Numeri basa piedi 1st linea</t>
  </si>
  <si>
    <t>Numeri basa piedi 2nd linea</t>
  </si>
  <si>
    <t>Numeri di Junction laterale</t>
  </si>
  <si>
    <t>GUTTER 2x</t>
  </si>
  <si>
    <t>GUTTER 3x</t>
  </si>
  <si>
    <t>GUTTER 4x</t>
  </si>
  <si>
    <t>FRONT COVER x2</t>
  </si>
  <si>
    <t>FRONT COVERx3</t>
  </si>
  <si>
    <t>BACK COVER x2</t>
  </si>
  <si>
    <t>BACK COVER x3</t>
  </si>
  <si>
    <t>U Weather Tightness between rows x2</t>
  </si>
  <si>
    <t>U Weather Tightness between rows x3</t>
  </si>
  <si>
    <t>U Weather Tightness between modules</t>
  </si>
  <si>
    <t>MODULE CLAMP</t>
  </si>
  <si>
    <t>SPOILER COVER</t>
  </si>
  <si>
    <t>SEALING BOARD</t>
  </si>
  <si>
    <t>SQUARE BOARD</t>
  </si>
  <si>
    <t>GUTTER EXIT</t>
  </si>
  <si>
    <t>MOUNTING TOOL</t>
  </si>
  <si>
    <t>PRECOMPRESS SEAL TRS 15/1-3</t>
  </si>
  <si>
    <t>SIDE COVER FIRST AND LAST ROW</t>
  </si>
  <si>
    <t>SIDE COVER ADDITIONAL ROW</t>
  </si>
  <si>
    <t>GRONDAIA 2x</t>
  </si>
  <si>
    <t>GRONDAIA 3x</t>
  </si>
  <si>
    <t>GRONDAIA 4x</t>
  </si>
  <si>
    <t>SCIVOLO ANTERIORE x2</t>
  </si>
  <si>
    <t>SCIVOLO ANTERIORE x3</t>
  </si>
  <si>
    <t>SCIVOLO POSTERIORE x2</t>
  </si>
  <si>
    <t>SCIVOLO POSTERIORE x3</t>
  </si>
  <si>
    <t>U DI TENUTA TRA FILA x2</t>
  </si>
  <si>
    <t>U DI TENUTA TRA FILA x3</t>
  </si>
  <si>
    <t>U DI TENUTA TRA MODULI</t>
  </si>
  <si>
    <t>CLAMP MODULE</t>
  </si>
  <si>
    <t>SPOILER COPERTURA</t>
  </si>
  <si>
    <t>PIASTRA DI TENUTA</t>
  </si>
  <si>
    <t>PIASTRA QUADRATA</t>
  </si>
  <si>
    <t xml:space="preserve">USCITA GRONDAIA </t>
  </si>
  <si>
    <t>PRECOMPRESO GUARNIZIONE</t>
  </si>
  <si>
    <t>STRUMENTO DI MONTAGGIO</t>
  </si>
  <si>
    <t>COPERTURA LATERALE - PRIMA E ULTIMA FILA</t>
  </si>
  <si>
    <t>COPERTURA LATERALE - FILA SUPPLEMENTARE</t>
  </si>
  <si>
    <t>LOT DE 4 ECLISSES DE BANDEAU</t>
  </si>
  <si>
    <t>SET OF 4 SPOILERS ASSEMBLY SPLINTS</t>
  </si>
  <si>
    <t>Version 1.2.3</t>
  </si>
  <si>
    <t>Choisissez votre langue</t>
  </si>
  <si>
    <t>Select your language</t>
  </si>
  <si>
    <t>Scegliete la lingua</t>
  </si>
  <si>
    <t xml:space="preserve"> </t>
  </si>
  <si>
    <t>1.1 Si vous utilisez des modules de dimensions comprises entre 1635 et 1676mm, compléter l'onglet "Shadow Solar 1635-1676", si vous utilisez des modules de dimensions comprises entre 1655 et 1685mm, compléter l'onglet "Shadow Solar 1655-1685"</t>
  </si>
  <si>
    <t>1.3 Indiquez votre remise (cellule P69), le prix par champ s'affiche ligne 69 et le total de la commande est dans la cellule R68</t>
  </si>
  <si>
    <t>2.1 Pour un assemblage latéral: noter la configuration sur la même ligne</t>
  </si>
  <si>
    <t>2.0 Si vous souhaitez effectuer un assemblage de 2 ou plusieurs ombrières, vous devez remplir l'onglet "Assemblage Shadow Solar" uniquement.</t>
  </si>
  <si>
    <t>2.2 Pour un assemblage en profondeur: noter la configuration sur la même colonne</t>
  </si>
  <si>
    <t>1.1 If you usePV-modules with dimensions between 1635 and 1676mm, please fullfill the sheet "Shadow Solar 1635-1676", if you use PV-modules with dimensions between 1655 and 1685mm, please fullfill the sheet "Shadow Solar 1655 - 1685".</t>
  </si>
  <si>
    <t>1.2 If necessary, you can add manually additional parts on your order using column M (for ex: +10) or reduce the quantity (ex: -10)</t>
  </si>
  <si>
    <t>1.3 Please indicate your discount (cell P69), the price per field will be shown on line 69 and the total order price on cell R68.</t>
  </si>
  <si>
    <r>
      <t xml:space="preserve">2.0 If you wish to design an assembly of Shadow Solar, you should </t>
    </r>
    <r>
      <rPr>
        <b/>
        <u/>
        <sz val="11"/>
        <color theme="1"/>
        <rFont val="Calibri"/>
        <family val="2"/>
        <scheme val="minor"/>
      </rPr>
      <t xml:space="preserve">only </t>
    </r>
    <r>
      <rPr>
        <sz val="11"/>
        <color theme="1"/>
        <rFont val="Calibri"/>
        <family val="2"/>
        <scheme val="minor"/>
      </rPr>
      <t>fullfill the sheet "Assemblage Shadow Solar".</t>
    </r>
  </si>
  <si>
    <t>2.1 for a side assembly: please write the configurations on the same line side by side.</t>
  </si>
  <si>
    <t>2.2 for a front/rear assembly: please write the configuration on the same column up and down.</t>
  </si>
  <si>
    <t>3.0 Please cross-check the quantity of assembly in the cell L15 of the sheet "Shadow Solar 1635 - 1676" or "Shadow Solar 1655-1685".</t>
  </si>
  <si>
    <t>Instructions :</t>
  </si>
  <si>
    <t>PGOSLED01A</t>
  </si>
  <si>
    <t>PGOSLED02A</t>
  </si>
  <si>
    <t>PRT0P00603AA</t>
  </si>
  <si>
    <t>PRT0P00604AA</t>
  </si>
  <si>
    <t>sous face X3 : 980x2530 mm</t>
  </si>
  <si>
    <t>sous face X2 : 980x3390 mm</t>
  </si>
  <si>
    <t>plaque de makrolon 980x2530mm</t>
  </si>
  <si>
    <t>plaque de makrolon 980x3390mm</t>
  </si>
  <si>
    <t>TOIT 2x2 7016</t>
  </si>
  <si>
    <t>TOIT 3x3 7016</t>
  </si>
  <si>
    <t>TOIT 4x2 7016</t>
  </si>
  <si>
    <t>TOIT 4x3 7016</t>
  </si>
  <si>
    <t>Choix couleur bioclimatique</t>
  </si>
  <si>
    <t>Pergosolar 1</t>
  </si>
  <si>
    <t>Pergosolar 2</t>
  </si>
  <si>
    <t>Pergosolar 3</t>
  </si>
  <si>
    <t>Pergosolar 4</t>
  </si>
  <si>
    <t>Pergosolar 5</t>
  </si>
  <si>
    <t>Pergosolar 6</t>
  </si>
  <si>
    <t>Option Bioclimatique</t>
  </si>
  <si>
    <t>Prix Total €HT</t>
  </si>
  <si>
    <t>IIIb</t>
  </si>
  <si>
    <t>A2</t>
  </si>
  <si>
    <t>Vérification Nbre de ligne</t>
  </si>
  <si>
    <t>Type</t>
  </si>
  <si>
    <t>Nb ligne PV</t>
  </si>
  <si>
    <t>Nb ligne bio</t>
  </si>
  <si>
    <t>Total ligne</t>
  </si>
  <si>
    <t>Bio Yes / No</t>
  </si>
  <si>
    <t>Vérif</t>
  </si>
  <si>
    <t>Sélection</t>
  </si>
  <si>
    <t>Nombre de module (largeur)</t>
  </si>
  <si>
    <t>Numéro solution</t>
  </si>
  <si>
    <t>Ok</t>
  </si>
  <si>
    <t>Recherche "Ok"</t>
  </si>
  <si>
    <t>Numéro</t>
  </si>
  <si>
    <t>Nombre de ligne Bioclimatique</t>
  </si>
  <si>
    <t>Ligne(s) de Module(s) photovoltaïque(s)</t>
  </si>
  <si>
    <t>Nombre de modules</t>
  </si>
  <si>
    <t>Total colonne</t>
  </si>
  <si>
    <t>Total Modules</t>
  </si>
  <si>
    <t>Synthèse de l'assemblage</t>
  </si>
  <si>
    <t>Quantité option Assemblage latéral ombrière</t>
  </si>
  <si>
    <t xml:space="preserve">3.0 Noter le nombre d'assemblages dans la cellule L15 de l'onglet "Shadow Solar 1635-1676" ou "Shadow Solar 1655-1685" </t>
  </si>
  <si>
    <t>1.2 Si nécessaire, vous pouvez ajouter des pièces supplémentaires sur votre commande (exemple: +10) ou bien en retirer (exemple: -10) en utilisant la colonne M</t>
  </si>
  <si>
    <t>Pour information : Les références de toiture sont gerbables jusqu'à 7 éléments.</t>
  </si>
  <si>
    <t>Nombre de ligne PV</t>
  </si>
  <si>
    <t>Longueur de pieds (mm)</t>
  </si>
  <si>
    <t>Option 2 spots</t>
  </si>
  <si>
    <t>Nombre de Spot de LED</t>
  </si>
  <si>
    <t>Nombre d’option</t>
  </si>
  <si>
    <t>Option bandeau LED</t>
  </si>
  <si>
    <t>Option  Spot</t>
  </si>
  <si>
    <t>Dessin avec  Spot</t>
  </si>
  <si>
    <t>Ligne Spot OK</t>
  </si>
  <si>
    <t>Spot</t>
  </si>
  <si>
    <t>Résultat FAUX</t>
  </si>
  <si>
    <t>Vitesse</t>
  </si>
  <si>
    <t>Catégorie de terrain</t>
  </si>
  <si>
    <t>Angle de toît</t>
  </si>
  <si>
    <t>Calcul Vent</t>
  </si>
  <si>
    <t>Calcul Neige</t>
  </si>
  <si>
    <t>Calcul Eurocode pour la France</t>
  </si>
  <si>
    <t>Charges déjà connues</t>
  </si>
  <si>
    <t>Calcul charges de neige</t>
  </si>
  <si>
    <t>α ( angle du versant )</t>
  </si>
  <si>
    <t>0° &lt;= α &lt;= 30°</t>
  </si>
  <si>
    <t>30° &lt;= α &lt;= 60°</t>
  </si>
  <si>
    <t xml:space="preserve"> α &gt;= 60°</t>
  </si>
  <si>
    <t>vent</t>
  </si>
  <si>
    <t>l (Largeur batîment)</t>
  </si>
  <si>
    <t>m</t>
  </si>
  <si>
    <t>Charges ascendantes</t>
  </si>
  <si>
    <t>Pa</t>
  </si>
  <si>
    <r>
      <rPr>
        <b/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= μ1 x Ce x Ct x sk pour les situations de projet durables / transitoires </t>
    </r>
    <r>
      <rPr>
        <b/>
        <sz val="8"/>
        <color rgb="FF000000"/>
        <rFont val="Arial"/>
        <family val="2"/>
      </rPr>
      <t>(N/m²)</t>
    </r>
  </si>
  <si>
    <t>µ1</t>
  </si>
  <si>
    <t xml:space="preserve"> 0,80 ( 60 - α ) /30</t>
  </si>
  <si>
    <t>II</t>
  </si>
  <si>
    <t>L (Longueur du batîment)</t>
  </si>
  <si>
    <t>IIIa</t>
  </si>
  <si>
    <t>h (Hauteur du batîment)</t>
  </si>
  <si>
    <t>Charges descendantes</t>
  </si>
  <si>
    <r>
      <rPr>
        <b/>
        <sz val="8"/>
        <color rgb="FF000000"/>
        <rFont val="Arial"/>
        <family val="2"/>
      </rPr>
      <t>S</t>
    </r>
    <r>
      <rPr>
        <sz val="8"/>
        <color rgb="FF000000"/>
        <rFont val="Arial"/>
        <family val="2"/>
      </rPr>
      <t xml:space="preserve"> = μ1 x Ce x Ct x sad pour les situations de projet accidentelles. </t>
    </r>
    <r>
      <rPr>
        <b/>
        <sz val="8"/>
        <color rgb="FF000000"/>
        <rFont val="Arial"/>
        <family val="2"/>
      </rPr>
      <t>(N/m²)</t>
    </r>
  </si>
  <si>
    <t xml:space="preserve"> α (Angle du support module)</t>
  </si>
  <si>
    <t>°</t>
  </si>
  <si>
    <t>IV</t>
  </si>
  <si>
    <t>hp (hauteur acrotère)</t>
  </si>
  <si>
    <t xml:space="preserve">μ1 est le coefficient de forme (dépend du type de toiture, de la pente du versant et de la redistribution de la neige par le vent). </t>
  </si>
  <si>
    <t xml:space="preserve"> r (rayon)</t>
  </si>
  <si>
    <t>De 200 à 500 m</t>
  </si>
  <si>
    <t>De 500 à 1000 m</t>
  </si>
  <si>
    <t>De 1000 à 2000 m</t>
  </si>
  <si>
    <t>Sk</t>
  </si>
  <si>
    <t>Ce est le coefficient d'exposition, qu'on considérera égal à 1.</t>
  </si>
  <si>
    <t>Zone de neige</t>
  </si>
  <si>
    <t>Sk200 &lt; 200 m</t>
  </si>
  <si>
    <t>Sad</t>
  </si>
  <si>
    <t>Sad&lt;200 m</t>
  </si>
  <si>
    <t>▲s1</t>
  </si>
  <si>
    <t>▲s2</t>
  </si>
  <si>
    <t>µ1( α)</t>
  </si>
  <si>
    <t>A1</t>
  </si>
  <si>
    <t>ls</t>
  </si>
  <si>
    <t xml:space="preserve">Ct est le coefficient thermique, qu'on considérera égal à 1. </t>
  </si>
  <si>
    <t>A (Altitude)</t>
  </si>
  <si>
    <t>B1</t>
  </si>
  <si>
    <t>Zone 1 : Vb = 22 m/s - qb = 296 Pa</t>
  </si>
  <si>
    <t>B2</t>
  </si>
  <si>
    <t>Zone 2 : Vb = 24 m/s - qb = 353 Pa</t>
  </si>
  <si>
    <t>C1</t>
  </si>
  <si>
    <t>Zone 3 : Vb = 26 m/s - qb = 414 Pa</t>
  </si>
  <si>
    <t>C2</t>
  </si>
  <si>
    <t>Zone 4 : Vb = 28 m/s - qb = 480 Pa</t>
  </si>
  <si>
    <t>Angle du toit</t>
  </si>
  <si>
    <t>D</t>
  </si>
  <si>
    <t>Altitude</t>
  </si>
  <si>
    <t>E</t>
  </si>
  <si>
    <t>Zone sélectionnée</t>
  </si>
  <si>
    <t>m/s</t>
  </si>
  <si>
    <t>qb ( pression dynamique de référence )</t>
  </si>
  <si>
    <t>Ce(z) (coefficient d'exposition) :</t>
  </si>
  <si>
    <t>qp (pression dynamique de pointe ) = Ce(z) x qb</t>
  </si>
  <si>
    <t>Rives arrondies</t>
  </si>
  <si>
    <t>r/h</t>
  </si>
  <si>
    <t>hp/h</t>
  </si>
  <si>
    <t>Brisis mansardés</t>
  </si>
  <si>
    <t>α (°)</t>
  </si>
  <si>
    <t>Rives à arêtes vives</t>
  </si>
  <si>
    <t>Ce(z)</t>
  </si>
  <si>
    <t>Rugosité</t>
  </si>
  <si>
    <t>Selection  de la catégorie de rugosité</t>
  </si>
  <si>
    <t>Hauteur Z</t>
  </si>
  <si>
    <t>Type de toiture</t>
  </si>
  <si>
    <t>Zone</t>
  </si>
  <si>
    <t>F</t>
  </si>
  <si>
    <t>G</t>
  </si>
  <si>
    <t>H</t>
  </si>
  <si>
    <t>I</t>
  </si>
  <si>
    <t>Cpe.10</t>
  </si>
  <si>
    <t>Cpe.1</t>
  </si>
  <si>
    <t>+0,2</t>
  </si>
  <si>
    <t>-0,2</t>
  </si>
  <si>
    <t>Avec acrotères</t>
  </si>
  <si>
    <t>hp/h=0</t>
  </si>
  <si>
    <t>hp/h=0,025</t>
  </si>
  <si>
    <t>hp/h=0,0375</t>
  </si>
  <si>
    <t>hp/h=0,05</t>
  </si>
  <si>
    <t>hp/h=0,075</t>
  </si>
  <si>
    <t>hp/h=0,1</t>
  </si>
  <si>
    <t>hp/h=0,125</t>
  </si>
  <si>
    <t>r/h=0</t>
  </si>
  <si>
    <t>r/h=0,05</t>
  </si>
  <si>
    <t>r/h=0,075</t>
  </si>
  <si>
    <t>r/h=0,1</t>
  </si>
  <si>
    <t>r/h=0,15</t>
  </si>
  <si>
    <t>r/h=0,2</t>
  </si>
  <si>
    <t>r/h=0,25</t>
  </si>
  <si>
    <t>α=22,5°</t>
  </si>
  <si>
    <t>α=30°</t>
  </si>
  <si>
    <t>α=37,5°</t>
  </si>
  <si>
    <t>α=45°</t>
  </si>
  <si>
    <t>α=52,5°</t>
  </si>
  <si>
    <t>α=60°</t>
  </si>
  <si>
    <t>α=67,5°</t>
  </si>
  <si>
    <r>
      <rPr>
        <sz val="11"/>
        <color theme="1"/>
        <rFont val="Calibri"/>
        <family val="2"/>
        <scheme val="minor"/>
      </rPr>
      <t>Catégorie 0 : 
mer ou zone côtière exposée aux vents de mer.</t>
    </r>
  </si>
  <si>
    <t>Category 0 : 
sea or coastal area exposed to sea winds.</t>
  </si>
  <si>
    <t>Category 1 : 
lakes or negligible vegetation area and free of obstructions.</t>
  </si>
  <si>
    <t>Catégorie 2 : zone à végétation basse telle que de l’herbe, avec ou non quelques obstacles isolés (arbres, bâtiments) séparés les uns des autres d'au moins 20 fois leur hauteur.</t>
  </si>
  <si>
    <t>Category 2 : low vegetation area such as grass, with or without some isolated obstacles (trees, buildings) separated from each other by at least 20 times their height.</t>
  </si>
  <si>
    <t>Catégorie 3 : 
zone avec une couverture végétale régulière ou des bâtiments, ou avec des obstacles isolés séparés d'au plus 20 fois leur hauteur.</t>
  </si>
  <si>
    <t>Category 3 : 
area with regular vegetation or buildings, or with isolated obstacles separated more than 20 times their height.</t>
  </si>
  <si>
    <t>Catégorie 4 : 
zone dont au moins 15 % de la surface sont recouverts de bâtiments, dont la hauteur moyenne est supérieure à 15 m.</t>
  </si>
  <si>
    <t>Category 4 : 
area of which at least 15% of the surface is covered with buildings, including the average height is greater than 15 m.</t>
  </si>
  <si>
    <t>Zone 1 : 22 m/s</t>
  </si>
  <si>
    <t>Zone 2 : 24 m/s</t>
  </si>
  <si>
    <t>Zone 3 : 26 m/s</t>
  </si>
  <si>
    <t>Zone 4 : 28 m/s</t>
  </si>
  <si>
    <t>Mayotte : 30 m/s</t>
  </si>
  <si>
    <t>Martinique : 32 m/s</t>
  </si>
  <si>
    <t>Réunion : 34 m/s</t>
  </si>
  <si>
    <t>Guadeloupe : 36 m/s</t>
  </si>
  <si>
    <t>0</t>
  </si>
  <si>
    <t>option kit Led : 4 spots  + alim + récepteur + télécommande</t>
  </si>
  <si>
    <t>Option Screen latéral</t>
  </si>
  <si>
    <t>Option Screen avant ou arrièrre</t>
  </si>
  <si>
    <t>Nombre de Screen latéral</t>
  </si>
  <si>
    <t>Nombre de Screen avant ou arrièrre</t>
  </si>
  <si>
    <t>Lg Sceen latéral</t>
  </si>
  <si>
    <t>Lg Sceen av ou arr</t>
  </si>
  <si>
    <t>Sélection latéral</t>
  </si>
  <si>
    <t>Sélection av arr</t>
  </si>
  <si>
    <t>Screen(s) latéral(aux)</t>
  </si>
  <si>
    <t>Screen(s) avant ou arrière</t>
  </si>
  <si>
    <t>Nombre de paire de pieds par Pergola</t>
  </si>
  <si>
    <t>Largeur</t>
  </si>
  <si>
    <t>Profondeur</t>
  </si>
  <si>
    <t>Hauteur</t>
  </si>
  <si>
    <t>Sélection Largeur</t>
  </si>
  <si>
    <t>Sélection Profondeur</t>
  </si>
  <si>
    <t>Sélection Hauteur</t>
  </si>
  <si>
    <t>Screen latéral</t>
  </si>
  <si>
    <t>Screen avant</t>
  </si>
  <si>
    <t>Nb</t>
  </si>
  <si>
    <t>Screen av ou arr</t>
  </si>
  <si>
    <t>Validation format</t>
  </si>
  <si>
    <t>Nbre Screen</t>
  </si>
  <si>
    <t>Numéro de ligne</t>
  </si>
  <si>
    <t>Option embases Pieds</t>
  </si>
  <si>
    <t>Format</t>
  </si>
  <si>
    <t>Nombre de pieds</t>
  </si>
  <si>
    <t>Nombre assemblage</t>
  </si>
  <si>
    <t>Nbre</t>
  </si>
  <si>
    <t>Choix couleur Standard RAL</t>
  </si>
  <si>
    <t>Screen Latéraux</t>
  </si>
  <si>
    <t>Nombre</t>
  </si>
  <si>
    <t>Nombre maxi de Screen lateral</t>
  </si>
  <si>
    <t>2 Pieds</t>
  </si>
  <si>
    <t>4 Pieds</t>
  </si>
  <si>
    <t>Sceen av ou arr</t>
  </si>
  <si>
    <t>Nombre maxi de Screen av ou arr</t>
  </si>
  <si>
    <t>Nbre kit ss face/ligne pergola</t>
  </si>
  <si>
    <t>Assemblage latéral (face aux modules à droite et à gauche )</t>
  </si>
  <si>
    <t>Définir la puissance du module</t>
  </si>
  <si>
    <t>Choix du module photovoltaïque</t>
  </si>
  <si>
    <t>Choix de l'onduleur</t>
  </si>
  <si>
    <t>Référence distributeur</t>
  </si>
  <si>
    <t>x</t>
  </si>
  <si>
    <t>Cable lg 500 mm</t>
  </si>
  <si>
    <t>Nomenclature IRFTS</t>
  </si>
  <si>
    <t>Nomenclature XXX</t>
  </si>
  <si>
    <t>Résistance en pression</t>
  </si>
  <si>
    <t>Résistance en dépression</t>
  </si>
  <si>
    <t>Hauteur bat</t>
  </si>
  <si>
    <t>Charges calculé par Zone</t>
  </si>
  <si>
    <t>Charges sélectionnées</t>
  </si>
  <si>
    <t>Charges descendantes :</t>
  </si>
  <si>
    <t>Charges ascendantes :</t>
  </si>
  <si>
    <t>Format pergola :</t>
  </si>
  <si>
    <t>Nomenclature Distributeur</t>
  </si>
  <si>
    <t>1/ Renseigner les lignes.</t>
  </si>
  <si>
    <t>Répondre aux questions des cases en jaune</t>
  </si>
  <si>
    <t>Liste de pièces IRFTS en gras</t>
  </si>
  <si>
    <t>Modules *******</t>
  </si>
  <si>
    <t>Onduleur *******</t>
  </si>
  <si>
    <t>kit de fixation de sous face</t>
  </si>
  <si>
    <t xml:space="preserve">Charges ascendantes : </t>
  </si>
  <si>
    <t xml:space="preserve">Charges descendantes : </t>
  </si>
  <si>
    <t xml:space="preserve">Altitude (m) : </t>
  </si>
  <si>
    <t xml:space="preserve">Catégorie de terrain : </t>
  </si>
  <si>
    <t xml:space="preserve">Zone de neige : </t>
  </si>
  <si>
    <t xml:space="preserve">Zone de vent : </t>
  </si>
  <si>
    <t xml:space="preserve">Pression de neige (Pa) : </t>
  </si>
  <si>
    <t xml:space="preserve">Pression du vent (Pa) : </t>
  </si>
  <si>
    <t xml:space="preserve">Format Pergola : </t>
  </si>
  <si>
    <t>Attention : ajouter la chute de neige du toit si nécessaire.</t>
  </si>
  <si>
    <t>Charges OK</t>
  </si>
  <si>
    <t>Charges trop importantes</t>
  </si>
  <si>
    <t>kit de déport des pieds + évacuation d'eau  (2 pieds maximum)</t>
  </si>
  <si>
    <t>Nombre par Pergosolar</t>
  </si>
  <si>
    <t>Nombre de Plaque/PV</t>
  </si>
  <si>
    <t>Allemand</t>
  </si>
  <si>
    <t>FORMAT</t>
  </si>
  <si>
    <t>Modules PV</t>
  </si>
  <si>
    <t>* sans les embases pieds</t>
  </si>
  <si>
    <t>KIT 4 SPOTS LED 3000°K</t>
  </si>
  <si>
    <t>KIT 2 SPOTS LED 3000°K</t>
  </si>
  <si>
    <t>2 lignes</t>
  </si>
  <si>
    <t>3 lignes</t>
  </si>
  <si>
    <t>2x2 2 Pieds</t>
  </si>
  <si>
    <t>2x2 4 Pieds</t>
  </si>
  <si>
    <t>2x3 4 Pieds</t>
  </si>
  <si>
    <t>2x3 2 Pieds</t>
  </si>
  <si>
    <t>3x3 2 Pieds</t>
  </si>
  <si>
    <t>3x3 4 Pieds</t>
  </si>
  <si>
    <t>4x2 4 Pieds</t>
  </si>
  <si>
    <t>4x2 2 Pieds</t>
  </si>
  <si>
    <t>4x3 2 Pieds</t>
  </si>
  <si>
    <t>4x3 4 Pieds</t>
  </si>
  <si>
    <t>Vérifier que les charges sur la Pergola sont correctes</t>
  </si>
  <si>
    <r>
      <t xml:space="preserve">option kit Led en ruban + </t>
    </r>
    <r>
      <rPr>
        <sz val="11"/>
        <color theme="1"/>
        <rFont val="Calibri"/>
        <family val="2"/>
      </rPr>
      <t>ALIM+recepteur + telecommande</t>
    </r>
  </si>
  <si>
    <t>*****</t>
  </si>
  <si>
    <t>Mayotte : Vb = 30 m/s - qb = 540 Pa</t>
  </si>
  <si>
    <t>Martinique : Vb = 32 m/s - qb = 608 Pa</t>
  </si>
  <si>
    <t>Réunion : Vb = 34 m/s - qb = 680 Pa</t>
  </si>
  <si>
    <t>Guadeloupe : Vb = 36 m/s - qb = 756 Pa</t>
  </si>
  <si>
    <t>Order quantity</t>
  </si>
  <si>
    <t>Auftragsmenge</t>
  </si>
  <si>
    <t>Select the quantity of anchoring brackets</t>
  </si>
  <si>
    <t>With module's lateral finisher</t>
  </si>
  <si>
    <t>Module Leistung in Watt</t>
  </si>
  <si>
    <t>Module quantity</t>
  </si>
  <si>
    <t xml:space="preserve">Winkelankeranzahl </t>
  </si>
  <si>
    <t xml:space="preserve">Module Anzahl </t>
  </si>
  <si>
    <t>Nein</t>
  </si>
  <si>
    <t>Ja</t>
  </si>
  <si>
    <t>IRFTS Stückliste</t>
  </si>
  <si>
    <t>Typenbezeichnung</t>
  </si>
  <si>
    <t xml:space="preserve">Stückliste </t>
  </si>
  <si>
    <t>IRFTS Bill of material</t>
  </si>
  <si>
    <t>Bill of material</t>
  </si>
  <si>
    <t>Distributor reference</t>
  </si>
  <si>
    <t>Händler Typenbezeichnung</t>
  </si>
  <si>
    <t>Product Identification</t>
  </si>
  <si>
    <t>Produktkennzeichnung</t>
  </si>
  <si>
    <t>Paketgrösse</t>
  </si>
  <si>
    <t>Gewicht (Kg)</t>
  </si>
  <si>
    <t>Produktbezeichnung</t>
  </si>
  <si>
    <t>Gesamtmenge</t>
  </si>
  <si>
    <t>Verkaufseinheit</t>
  </si>
  <si>
    <t>Einheitspreis</t>
  </si>
  <si>
    <t>Gesamtpreis ohne MWStr.</t>
  </si>
  <si>
    <t>Einheitspreis nach Rabatt</t>
  </si>
  <si>
    <t xml:space="preserve"> Rabatt</t>
  </si>
  <si>
    <t>Ihr Bestellstatus</t>
  </si>
  <si>
    <t>Altitude (mtr)</t>
  </si>
  <si>
    <t>Höhenlage</t>
  </si>
  <si>
    <t>Type of land</t>
  </si>
  <si>
    <t>Snow load (Pa):</t>
  </si>
  <si>
    <t>Wind load (Pa):</t>
  </si>
  <si>
    <t>Snow area :</t>
  </si>
  <si>
    <t>Wind area :</t>
  </si>
  <si>
    <t>Schnee Zone :</t>
  </si>
  <si>
    <t>Wind Zone:</t>
  </si>
  <si>
    <t>Schneelast (Pa) :</t>
  </si>
  <si>
    <t>Windlast (Pa) :</t>
  </si>
  <si>
    <t xml:space="preserve">Bottom-up loads : </t>
  </si>
  <si>
    <t xml:space="preserve">Top-down loads : </t>
  </si>
  <si>
    <t xml:space="preserve">Top-down Lasten : </t>
  </si>
  <si>
    <t xml:space="preserve">Bottom-up Lasten : </t>
  </si>
  <si>
    <t xml:space="preserve"> Pergola Size</t>
  </si>
  <si>
    <t>Watch out : add the snow load from roof if necessary</t>
  </si>
  <si>
    <t>Vorsicht : Schnee Lasten vom Dach eventuel hinzufügen</t>
  </si>
  <si>
    <t>Loads OK</t>
  </si>
  <si>
    <t>Lasten OK</t>
  </si>
  <si>
    <t>Excessive loads</t>
  </si>
  <si>
    <t>überhöten Belastungen</t>
  </si>
  <si>
    <t>Total screen quantity</t>
  </si>
  <si>
    <t>Eckpfosten (Satz von 2 Stcke.) 2400  9010</t>
  </si>
  <si>
    <t>Feet (set of 2) 2400 9010</t>
  </si>
  <si>
    <t>Option A : seitliche Abdeckung 9010 (erste und letzte Reihe)</t>
  </si>
  <si>
    <t xml:space="preserve">Eckpfosten </t>
  </si>
  <si>
    <t>Mit Dachunterseite</t>
  </si>
  <si>
    <t>Ohne Dachunterseite</t>
  </si>
  <si>
    <t>Spot sup</t>
  </si>
  <si>
    <t>TOIT EVO 2x2 7016 MAT</t>
  </si>
  <si>
    <t>SHAS7011E9010</t>
  </si>
  <si>
    <t>SHAS7021E9010</t>
  </si>
  <si>
    <t>TOIT EVO 3x3 7016 MAT</t>
  </si>
  <si>
    <t>TOIT EVO 4x2 7016 MAT</t>
  </si>
  <si>
    <t>SHAS7041E9010</t>
  </si>
  <si>
    <t>TOIT EVO 4x3 7016 MAT</t>
  </si>
  <si>
    <t>SHAS7057016M</t>
  </si>
  <si>
    <t>PIEDS (Lot de 2) 2400 7016 MAT</t>
  </si>
  <si>
    <t>SHAS7059010</t>
  </si>
  <si>
    <t>ASM0P00382AA</t>
  </si>
  <si>
    <t>kit 2 embases pieds Ombrière</t>
  </si>
  <si>
    <t>ASM0P00750AA</t>
  </si>
  <si>
    <t>KIT VISSERIE SHADOW SOLAR EVO 1E</t>
  </si>
  <si>
    <t>TOIT EVO 2x2 9010 BRILLANT</t>
  </si>
  <si>
    <t>TOIT EVO 3x3 9010 BRILLANT</t>
  </si>
  <si>
    <t>TOIT EVO 4x2 9010 BRILLANT</t>
  </si>
  <si>
    <t>TOIT EVO 4x3 9010 BRILLANT</t>
  </si>
  <si>
    <t>PIEDS (Lot de 2) 2400 9010 BRILLANT</t>
  </si>
  <si>
    <t>3600*800*350</t>
  </si>
  <si>
    <t>5300*800*350</t>
  </si>
  <si>
    <t>5200*800*350</t>
  </si>
  <si>
    <t>2430*210*110</t>
  </si>
  <si>
    <t>3510*210*110</t>
  </si>
  <si>
    <t>SHAS7087016M</t>
  </si>
  <si>
    <t>SHAS7089010</t>
  </si>
  <si>
    <t>PIEDS (Lot de 2) 3500 7016 MAT</t>
  </si>
  <si>
    <t>PIEDS (Lot de 2) 3500 9010 BRILLANT</t>
  </si>
  <si>
    <t>Bienvenue sur notre tableau de commande distributeur - Format SHADOWSOLAR EVO</t>
  </si>
  <si>
    <t>Welcome on our Distributor Price list - Format SHADOWSOLAR EVO</t>
  </si>
  <si>
    <t>Benvenuto sul nostro Distributore Prezzario - Formato SHADOWSOLAR EVO</t>
  </si>
  <si>
    <t>Inclus</t>
  </si>
  <si>
    <t>2 Spots supplémentaires</t>
  </si>
  <si>
    <t>Nombre de ligne(s) de panneaux photovoltaiques</t>
  </si>
  <si>
    <t>Par SHADOWSOLAR EVO</t>
  </si>
  <si>
    <t>PDC0P00369AA</t>
  </si>
  <si>
    <t>ASM0P00393AA</t>
  </si>
  <si>
    <t>660*680*50</t>
  </si>
  <si>
    <t>140*80</t>
  </si>
  <si>
    <t>Lot de 4 éclisses de bandeau</t>
  </si>
  <si>
    <t>Joint pour assemblage ombrières 12 m</t>
  </si>
  <si>
    <t>460*330*180</t>
  </si>
  <si>
    <t>205*115*105</t>
  </si>
  <si>
    <t>2530*980*960</t>
  </si>
  <si>
    <t>3390*980*960</t>
  </si>
  <si>
    <t>600*200*250</t>
  </si>
  <si>
    <t>260*180*140</t>
  </si>
  <si>
    <t>Nombre de paire d'équerres par Pergola</t>
  </si>
  <si>
    <t>Qté /Pergola</t>
  </si>
  <si>
    <t>Quantité totale de Screen</t>
  </si>
  <si>
    <t>Compléter la liste de vos pièces</t>
  </si>
  <si>
    <t>Nombre de lignes option bioclimatique</t>
  </si>
  <si>
    <t>Nb Liaisons</t>
  </si>
  <si>
    <t>Nb Pieds 2ème ligne</t>
  </si>
  <si>
    <t>Nombre total de paires de pieds</t>
  </si>
  <si>
    <t>Catégorie 1 : 
lac ou zone à végétation négligeable et libre de tout obstacle.</t>
  </si>
  <si>
    <t>Rajout Câbles de liaison</t>
  </si>
  <si>
    <t>Nbre embase</t>
  </si>
  <si>
    <t>2 additional built-in Led spots lights</t>
  </si>
  <si>
    <t>2 Extra eingebauter Led-Strahler</t>
  </si>
  <si>
    <t>LED kit option: 4 spots + alim + receiver + remote control</t>
  </si>
  <si>
    <t xml:space="preserve"> VAT excluded Public Price € per kit</t>
  </si>
  <si>
    <t xml:space="preserve"> VAT excluded Unit Price per kit after discount</t>
  </si>
  <si>
    <t>Preis € per Kit nach Rabatt ohne MWStr.</t>
  </si>
  <si>
    <t>Total commande €HT</t>
  </si>
  <si>
    <t>VAT excluded Total Order</t>
  </si>
  <si>
    <t>Après remise €HT</t>
  </si>
  <si>
    <t xml:space="preserve">After discount </t>
  </si>
  <si>
    <r>
      <t>Prix Public</t>
    </r>
    <r>
      <rPr>
        <b/>
        <sz val="11"/>
        <rFont val="Calibri"/>
        <family val="2"/>
        <scheme val="minor"/>
      </rPr>
      <t xml:space="preserve"> par pergola</t>
    </r>
    <r>
      <rPr>
        <sz val="11"/>
        <rFont val="Calibri"/>
        <family val="2"/>
        <scheme val="minor"/>
      </rPr>
      <t xml:space="preserve"> €HT</t>
    </r>
  </si>
  <si>
    <r>
      <t>Prix</t>
    </r>
    <r>
      <rPr>
        <b/>
        <sz val="11"/>
        <rFont val="Calibri"/>
        <family val="2"/>
        <scheme val="minor"/>
      </rPr>
      <t xml:space="preserve"> par pergola</t>
    </r>
    <r>
      <rPr>
        <sz val="11"/>
        <rFont val="Calibri"/>
        <family val="2"/>
        <scheme val="minor"/>
      </rPr>
      <t xml:space="preserve"> après remise €HT</t>
    </r>
  </si>
  <si>
    <t>Kit distributeur</t>
  </si>
  <si>
    <t>Distributor's PV kit</t>
  </si>
  <si>
    <t>FRAIS DE LIVRAISON (FRANCE UNIQUEMENT)</t>
  </si>
  <si>
    <t>DELIVERY COST (France ONLY)</t>
  </si>
  <si>
    <t>Livraison sur chantier</t>
  </si>
  <si>
    <t>Puissance par pergola</t>
  </si>
  <si>
    <t>Power per pergola in Watt</t>
  </si>
  <si>
    <t>Gesamt-Moduleleistung (1 pergola)</t>
  </si>
  <si>
    <t>Qty/Pergola</t>
  </si>
  <si>
    <t>Menge per Pergola</t>
  </si>
  <si>
    <t>LIVR_03</t>
  </si>
  <si>
    <t>FRAIS DE LIVRAISON grande Shadow (pour Shadow autres que 2x2)</t>
  </si>
  <si>
    <t>LIVR_04</t>
  </si>
  <si>
    <t>FRAIS DE LIVRAISON petite Shadow Solar EVO (pour les shadow 2X2)</t>
  </si>
  <si>
    <t>Price list for the SHADOW SOLAR EVOLUTION</t>
  </si>
  <si>
    <t>Total Price without VAT</t>
  </si>
  <si>
    <t>On-site delivery (France ONLY - NOT AVAILABLE for other countries)</t>
  </si>
  <si>
    <t>Fill in the list of your parts</t>
  </si>
  <si>
    <t>IRFTS Parts list in bold</t>
  </si>
  <si>
    <t>Check that the loads onto the pergola are ok</t>
  </si>
  <si>
    <t>Answer to questions in the yellow cells</t>
  </si>
  <si>
    <t>Standard color selection</t>
  </si>
  <si>
    <t>Other color selection</t>
  </si>
  <si>
    <t>Select the photovoltaic module</t>
  </si>
  <si>
    <t>Select the inverter</t>
  </si>
  <si>
    <t>Underface mounting kit</t>
  </si>
  <si>
    <t>Number of solar modules rows</t>
  </si>
  <si>
    <t>Total quantiy of feet lot</t>
  </si>
  <si>
    <t>1/ Feel in the lines</t>
  </si>
  <si>
    <t>2/ Eurocodes calculation</t>
  </si>
  <si>
    <t>5/ Distributor Nomenclature</t>
  </si>
  <si>
    <t>Définition tarifaire des SHADOW SOLAR EVOLUTION</t>
  </si>
  <si>
    <t>Listino prezzi per la tettoia SHADOW SOLAR EVOLUTION</t>
  </si>
  <si>
    <t>Option kit 2 Feet base for SHADOW SOLAR EVOLUTION</t>
  </si>
  <si>
    <t>ROOF EVO 2x2 7016 MAT</t>
  </si>
  <si>
    <t>ROOF EVO 2x2 9010 GLOSSY</t>
  </si>
  <si>
    <t>ROOF EVO 3x3 7016 MAT</t>
  </si>
  <si>
    <t>ROOF EVO 3x3 9010 GLOSSY</t>
  </si>
  <si>
    <t>ROOF EVO 4x2 7016 MAT</t>
  </si>
  <si>
    <t>ROOF EVO 4x2 9010 GLOSSY</t>
  </si>
  <si>
    <t>ROOF EVO 4x3 7016 MAT</t>
  </si>
  <si>
    <t>ROOF EVO 4x3 9010 GLOSSY</t>
  </si>
  <si>
    <t>FEET (set of 2) 2400 7016 MAT</t>
  </si>
  <si>
    <t>FEET (set of 2) 2400 9010 GLOSSY</t>
  </si>
  <si>
    <t>FEET (set of 2) 3500 7016 MAT</t>
  </si>
  <si>
    <t>FEET (set of 2) 3500 9010 GLOSSY</t>
  </si>
  <si>
    <t>SET 4 LED SPOTS 3000°K + E/R</t>
  </si>
  <si>
    <t>SET 2 LED SPOTS 3000°K</t>
  </si>
  <si>
    <t>SHA UNDERLAYING PLATE X3</t>
  </si>
  <si>
    <t>SHA UNDERLAYING PLATE X2</t>
  </si>
  <si>
    <t>SCREW SET SHADOW SOLAR EVO 1E</t>
  </si>
  <si>
    <t>Kit 2 feet base shadow solar</t>
  </si>
  <si>
    <t>SHIPMENT FEES (other SHADOW SOLAR EVOLUTION) (France ONLY - NOT AVAILABLE for other countries)</t>
  </si>
  <si>
    <t>SHIPMENT FEES (SHADOW SOLAR EVOLUTION 2x2) (France ONLY - NOT AVAILABLE for other countries)</t>
  </si>
  <si>
    <t>Shadow Solar Evolution</t>
  </si>
  <si>
    <t>Included</t>
  </si>
  <si>
    <t>Photovoltaic Module(s) Row(s)</t>
  </si>
  <si>
    <t>Dimensions Shadow Solar Evolution*</t>
  </si>
  <si>
    <t>Shadow Solar Evolution Dimensions*</t>
  </si>
  <si>
    <t>* without feet base</t>
  </si>
  <si>
    <t>PV Modules</t>
  </si>
  <si>
    <t>Select the feet length</t>
  </si>
  <si>
    <t>Joint covering for SHADOW SOLAR lateral assembly -12m</t>
  </si>
  <si>
    <t>SET OF 4 SPOILER ASSEMBLY STRIP-CLIP</t>
  </si>
  <si>
    <t>Die Preise beinhalten die PV-Module, die Verankerungsfüsse und die Winkelanker nicht</t>
  </si>
  <si>
    <t>i.e: Pergola 4x2, 2 Pfosten</t>
  </si>
  <si>
    <t xml:space="preserve">Pfostenanzahl </t>
  </si>
  <si>
    <t>Mit Module seitlichen Abdeckungen</t>
  </si>
  <si>
    <t>Pergola 1</t>
  </si>
  <si>
    <t>Pergola 2</t>
  </si>
  <si>
    <t>Pergola 3</t>
  </si>
  <si>
    <t>Pergola 4</t>
  </si>
  <si>
    <t>Pergola 5</t>
  </si>
  <si>
    <t>Pergola 6</t>
  </si>
  <si>
    <t>DACH 2x2 60 cells 6" 7016 (Panel 1635-1676)</t>
  </si>
  <si>
    <t>DACH 3X3 60 cells 6" 7016 (Panel 1635-1676)</t>
  </si>
  <si>
    <t>DACH 4x2 60 cells 6" 7016 (Panel 1635-1676)</t>
  </si>
  <si>
    <t>DACH 4X3 60 cells 6" 7016 (Panel 1635-1676)</t>
  </si>
  <si>
    <t>DACH 2x2 60 cells 6" 7016 (Panel 1655-1685)</t>
  </si>
  <si>
    <t>DACH 3X3 60 cells 6" 7016 (Panel 1655-1685)</t>
  </si>
  <si>
    <t>DACH 4x2 60 cells 6" 7016 (Panel 1655-1685)</t>
  </si>
  <si>
    <t>DACH 4X3 60 cells 6" 7016 (Panel 1655-1685)</t>
  </si>
  <si>
    <t>PFOSTEN (Set von 2) 2400 7016</t>
  </si>
  <si>
    <t>Option A: seitliche Abdeckung 7016 (erste &amp; letzte Reihe)</t>
  </si>
  <si>
    <t>Option A: seitliche Abdeckung 7016 (mittlere Reihen)</t>
  </si>
  <si>
    <t>ANDERE FARBEN</t>
  </si>
  <si>
    <t>Buchpreis € per Kit ohne MWStr.</t>
  </si>
  <si>
    <t>Maximale stapelbare Menge : 7 Dächstruktur Elemente</t>
  </si>
  <si>
    <t>Vorsicht : bei der Option Unterdecke  sind die seitlichen Abdeckungen notwendig</t>
  </si>
  <si>
    <t>DACH 2x2 60 cells 6" 9010 (Panel 1635-1676)</t>
  </si>
  <si>
    <t>DACH 3X3 60 cells 6" 9010 (Panel 1635-1676)</t>
  </si>
  <si>
    <t>DACH 4x2 60 cells 6" 9010 (Panel 1635-1676)</t>
  </si>
  <si>
    <t>DACH 4X3 60 cells 6" 9010 (Panel 1635-1676)</t>
  </si>
  <si>
    <t>DACH 2x2 60 cells 6" 9010 (Panel 1655-1685)</t>
  </si>
  <si>
    <t>DACH 3X3 60 cells 6" 9010 (Panel 1655-1685)</t>
  </si>
  <si>
    <t>DACH 4x2 60 cells 6" 9010 (Panel 1655-1685)</t>
  </si>
  <si>
    <t>DACH 4X3 60 cells 6" 9010 (Panel 1655-1685)</t>
  </si>
  <si>
    <t>Option A : seitliche Abdeckung 9010 ( mittlere Reihen)</t>
  </si>
  <si>
    <t>Ohne  seitliche Module Abdeckung</t>
  </si>
  <si>
    <t>DACH 2x2 60 cells 6" XXXX (Panel 1635-1676)</t>
  </si>
  <si>
    <t>DACH 3X3 60 cells 6" XXXX (Panel 1635-1676)</t>
  </si>
  <si>
    <t>DACH 4x2 60 cells 6" XXXX (Panel 1635-1676)</t>
  </si>
  <si>
    <t>DACH 4X3 60 cells 6" XXXX (Panel 1635-1676)</t>
  </si>
  <si>
    <t>DACH 2x2 60 cells 6" XXXX (Panel 1655-1685)</t>
  </si>
  <si>
    <t>DACH 3X3 60 cells 6" XXXX (Panel 1655-1685)</t>
  </si>
  <si>
    <t>DACH 4x2 60 cells 6" XXXX (Panel 1655-1685)</t>
  </si>
  <si>
    <t>DACH 4X3 60 cells 6" XXXX (Panel 1655-1685)</t>
  </si>
  <si>
    <t>Pfosten (Set von 2) 2400 XXXX (Panel 1635-1676)</t>
  </si>
  <si>
    <t>Option A: seitliche Abdeckung  XXXX (erste &amp; letzte Reihe)</t>
  </si>
  <si>
    <t>Option A: seitliche Abdeckung  XXXX mittlere Reihen )</t>
  </si>
  <si>
    <t>Stückliste hinzufügen</t>
  </si>
  <si>
    <t>IRFTS  fettgedruckte Stückliste</t>
  </si>
  <si>
    <t>Überprüfen Sie, ob die Lasten auf der Pergola in Ordnung sind.</t>
  </si>
  <si>
    <t>XXXX = Farbcode</t>
  </si>
  <si>
    <t>Standard Farbauswahl</t>
  </si>
  <si>
    <t>anderartige Farbauswahl</t>
  </si>
  <si>
    <t>Gesamtauftrag ausser MWStr.</t>
  </si>
  <si>
    <t>POLYCARBONAT Wabenstruktur 2 Panele Länge</t>
  </si>
  <si>
    <t>POLYCARBONAT Wabenstruktur 1,5 Panele Länge</t>
  </si>
  <si>
    <t>Schrauben Kit Shadow weiss</t>
  </si>
  <si>
    <t>Schrauben Kit Shadow schwarz</t>
  </si>
  <si>
    <t>Kit 2 Pfosten für SHADOW SOLAR</t>
  </si>
  <si>
    <t xml:space="preserve">Kir LED 9.6 W Neutral weiss 2*5m mit Fernsteuerung </t>
  </si>
  <si>
    <t>PV Module auswählen</t>
  </si>
  <si>
    <t>Wechselrichter auswählen</t>
  </si>
  <si>
    <t>Set von 4 Spoiler Montage Schienen</t>
  </si>
  <si>
    <t>Option Kit 2 Pfosten für SHADOW SOLAR EVOLUTION</t>
  </si>
  <si>
    <t>Option LED Strahler</t>
  </si>
  <si>
    <t>Unterdecke Montage Set</t>
  </si>
  <si>
    <t xml:space="preserve"> Solarmodulen Reihenanzahl</t>
  </si>
  <si>
    <t>LED Kit Option : 4 Strahler + Netzteil + Fernsteuerung</t>
  </si>
  <si>
    <t>Menge Option Kit seitliche Verbindung</t>
  </si>
  <si>
    <t>Kit seitliche Verbindung</t>
  </si>
  <si>
    <t>Ergänzung</t>
  </si>
  <si>
    <t>Verbindung</t>
  </si>
  <si>
    <t>Siehe Montageanleitung</t>
  </si>
  <si>
    <t>Design Ihrer Baugruppe</t>
  </si>
  <si>
    <t>Zusammenfassung Ihres Projekts</t>
  </si>
  <si>
    <t>PFOSTEN (Set von 2) 3500 7016</t>
  </si>
  <si>
    <t>Pfostenlänge wählen</t>
  </si>
  <si>
    <t>PFOSTEN (Set von 2) 3500 9010</t>
  </si>
  <si>
    <t>PFOSTEN (Set von 2) 3500 XXXX</t>
  </si>
  <si>
    <t>Hinzufügen des Farbcodes zur Referenz (9010 oder 7016 oder 7016M, usw.)</t>
  </si>
  <si>
    <t>Wenn eine zusätzliche Palette benötigt wird, addieren Sie bitte 50€ für die Verpackung.</t>
  </si>
  <si>
    <t>Fehler</t>
  </si>
  <si>
    <t>Anzahl der seitlichen Verbindungen</t>
  </si>
  <si>
    <t>Anzahl der seitlichen Verbindungen x 2</t>
  </si>
  <si>
    <t>Anzahl der seitlichen Verbindungen x 3</t>
  </si>
  <si>
    <t>Anzahl Pfosten 1ste Reihe</t>
  </si>
  <si>
    <t>Anzahl Pfosten 2te Reihe</t>
  </si>
  <si>
    <t>Gesamt Pfostenanzahl</t>
  </si>
  <si>
    <t>Reihe 1</t>
  </si>
  <si>
    <t>Reihe 2</t>
  </si>
  <si>
    <t>Geasmt</t>
  </si>
  <si>
    <t>4Pfosten Version</t>
  </si>
  <si>
    <t>Anzahl Shadow/Reihe</t>
  </si>
  <si>
    <t>Abwasserung 2x</t>
  </si>
  <si>
    <t>Abwasserung 3x</t>
  </si>
  <si>
    <t>Abwasserung 4x</t>
  </si>
  <si>
    <t>FRONT COVER x3</t>
  </si>
  <si>
    <t>U Witterungsbeständigkeit zwischen den Reihen x2</t>
  </si>
  <si>
    <t>U Witterungsbeständigkeit zwischen den Reihen x3</t>
  </si>
  <si>
    <t>U Witterungsbeständigkeit zwischen Modulen</t>
  </si>
  <si>
    <t>MDULKLEMME</t>
  </si>
  <si>
    <t>SPOILER-ABDECKUNG</t>
  </si>
  <si>
    <t>ABDICHTUNGSPLATTE</t>
  </si>
  <si>
    <t>QUADRATISCHES BRETT</t>
  </si>
  <si>
    <t>RINNENAUSGANG</t>
  </si>
  <si>
    <t>VORPRESSDICHTUNG TRS 15/1-3</t>
  </si>
  <si>
    <t>MONTAGE WERKZEUG</t>
  </si>
  <si>
    <t>SEITENDECKEL ERSTE UND LETZTE REIHE</t>
  </si>
  <si>
    <t>SEITENDECKEL ZUSÄTLICHE REIHE</t>
  </si>
  <si>
    <t>FRONTSEITIGE RINNE x2</t>
  </si>
  <si>
    <t>FRONTSEITIGE RINNE x3</t>
  </si>
  <si>
    <t>HINTERE RINNE x2</t>
  </si>
  <si>
    <t>HINTERE RINNE x3</t>
  </si>
  <si>
    <t>SPOILER VERBIND. x2</t>
  </si>
  <si>
    <t>SPOILER VERBIND. X3</t>
  </si>
  <si>
    <t>U Witterungsbeständigkeit zw. Reihen x2</t>
  </si>
  <si>
    <t>U Witterungsbeständigkeit zw. Reihen x3</t>
  </si>
  <si>
    <t>1/ Zeilen ausfüllen</t>
  </si>
  <si>
    <t>2/ Eurocodes Berechnung</t>
  </si>
  <si>
    <t>5/ Händler Stückliste</t>
  </si>
  <si>
    <t>1.1 Wenn Sie PV-Module mit Abmessungen zwischen 1635 und 1676mm verwenden, füllen Sie bitte das Blatt "Shadow Solar 1635-1676" aus, wenn Sie PV-Module mit Abmessungen zwischen 1655 und 1685mm verwenden, füllen Sie bitte das Blatt "Shadow Solar 1655 - 1685" aus.</t>
  </si>
  <si>
    <t>1.2 Bei Bedarf können Sie über die Spalte M (z.B. +10) manuell zusätzliche Teile zu Ihrer Bestellung hinzufügen oder die Menge reduzieren (z.B. -10).</t>
  </si>
  <si>
    <t>1.3 Bitte geben Sie Ihren Rabatt an (Zelle P69), der Preis pro Feld wird in Zeile 69 und der gesamte Bestellpreis in Zelle R68 angezeigt.</t>
  </si>
  <si>
    <t>2.0 Wenn Sie eine Baugruppe aus Pergolas planen, sollten Sie nur das Blatt "Assemblage Schattensonnen" ausfüllen.</t>
  </si>
  <si>
    <t>2.1 für eine Seitenmontage: Bitte schreiben Sie die Konfigurationen auf der gleichen Linie nebeneinander.</t>
  </si>
  <si>
    <t>2.2 für eine Front-/Rückseitenmontage: Bitte schreiben Sie die Konfiguration in die gleiche Spalte auf und ab.</t>
  </si>
  <si>
    <t>3.0 Bitte überprüfen Sie die Menge der Montage in der Zelle L15 auf dem Blatt "Schattensolar 1635 - 1676" oder "Schattensolar 1655-1685".</t>
  </si>
  <si>
    <t>Meeres- oder Küstenbereich, der Seewinden ausgesetzt ist</t>
  </si>
  <si>
    <t>Seen oder vernachlässigbaren Vegetationsflächen und frei von Hindernissen</t>
  </si>
  <si>
    <t>niedrige Vegetationsflächen wie Gras, mit oder ohne isolierte Hindernisse (Bäume, Gebäude), die durch mindestens die 20-fache Höhe voneinander getrennt sind.</t>
  </si>
  <si>
    <t>Bereiche mit regelmäßiger Vegetation oder Gebäuden oder mit isolierten Hindernissen, die mehr als 20-mal so hoch waren.</t>
  </si>
  <si>
    <t>Fläche, von der mindestens 15% der Fläche mit Gebäuden bedeckt sind, einschließlich der durchschnittlichen Höhe größer als 15 m.</t>
  </si>
  <si>
    <t xml:space="preserve">Nach Rabatt </t>
  </si>
  <si>
    <t>PV-Kit des Vertriebspartners</t>
  </si>
  <si>
    <t>SCHRAUBEN KIT SHADOW SOLAR EVO 1E</t>
  </si>
  <si>
    <t>Fugenabdeckung für SHADOW SOLAR seitliche Verbindung -12m</t>
  </si>
  <si>
    <t>SATZ VON 4 SPOILERN MONTAGE STREIFEN-CLIP</t>
  </si>
  <si>
    <t>Inbegriffen</t>
  </si>
  <si>
    <t>PV Module(n) Reihe(n)</t>
  </si>
  <si>
    <t>Shadow Solar Evolution Abmessungen*</t>
  </si>
  <si>
    <t>* ohne Pfosten Verankerung</t>
  </si>
  <si>
    <t>PV Module</t>
  </si>
  <si>
    <t>Preisliste SHADOW SOLAR EVOLUTION</t>
  </si>
  <si>
    <t>i.e: Pergola 4x2, 2 Pfosten (an der Fassade befestigt)</t>
  </si>
  <si>
    <t>Dachabmessungen wählen</t>
  </si>
  <si>
    <t>* Geschätzter Preis (noch zu bestätigen)</t>
  </si>
  <si>
    <t>Option Dachunterdecke</t>
  </si>
  <si>
    <t>Polycarbonat Unterdecken werden gemäss unserer Verpackungseinheitspolitik verkauft</t>
  </si>
  <si>
    <t>Grundstücksart</t>
  </si>
  <si>
    <t>Pergola Abmessung</t>
  </si>
  <si>
    <t>Gesamt Seitenhänger Menge</t>
  </si>
  <si>
    <t>Frei Haus Lieferung (lediglich innerhalb Frankreichs)</t>
  </si>
  <si>
    <t>Fragen in den gelben Feldern beantworten</t>
  </si>
  <si>
    <t>Dichtung für SHADOW SOLAR seitliche Montage</t>
  </si>
  <si>
    <t>Anschlussteile  Anzahl</t>
  </si>
  <si>
    <t xml:space="preserve"> Pfostenanzahl 1ste Reihe</t>
  </si>
  <si>
    <t xml:space="preserve"> Pfostenanzahl 2te Reihe</t>
  </si>
  <si>
    <t>Verbindung SPOILER x2</t>
  </si>
  <si>
    <t>Verbindung SPOILER x3</t>
  </si>
  <si>
    <t xml:space="preserve">VERSAN KOSTEN (gilt nur innerhalb Frankreichs) </t>
  </si>
  <si>
    <t>DACH EVO 2x2 7016 MAT</t>
  </si>
  <si>
    <t>DACH EVO 2x2 9010 GLOSSY</t>
  </si>
  <si>
    <t>DACH EVO 3x3 7016 MAT</t>
  </si>
  <si>
    <t>DACH EVO 3x3 9010 GLOSSY</t>
  </si>
  <si>
    <t>DACH EVO 4x2 7016 MAT</t>
  </si>
  <si>
    <t>DACH EVO 4x2 9010 GLOSSY</t>
  </si>
  <si>
    <t>DACH EVO 4x3 7016 MAT</t>
  </si>
  <si>
    <t>DACH EVO 4x3 9010 GLOSSY</t>
  </si>
  <si>
    <t>PFOSTEN (Set von 2) 2400 7016 MAT</t>
  </si>
  <si>
    <t>PFOSTEN (set von 2) 2400 9010 GLOSSY</t>
  </si>
  <si>
    <t>PFOSTEN (set von 2) 3500 7016 MAT</t>
  </si>
  <si>
    <t>PFOSTEN (set von 2) 3500 9010 GLOSSY</t>
  </si>
  <si>
    <t>SET 4 LED STRAHLER 3000°K + E/R</t>
  </si>
  <si>
    <t>SET 2 LED STRAHLER 3000°K</t>
  </si>
  <si>
    <t>SHA DACHUNTERSEITE X3</t>
  </si>
  <si>
    <t>SHA DACHUNTERSEITE  X2</t>
  </si>
  <si>
    <t>Kit 2 Pfostengrundplatten SHADOW SOLAR EVO 1E</t>
  </si>
  <si>
    <t xml:space="preserve">VERSANDKOSTEN (gilt nur innerhalb Frankreichs) </t>
  </si>
  <si>
    <t xml:space="preserve">VERSAND KOSTEN (gilt nur innerhalb Frankreichs) </t>
  </si>
  <si>
    <t>L x l x Hauteur 2728mm (Hauteur de pied 2400mm)</t>
  </si>
  <si>
    <t>Lot de 2</t>
  </si>
  <si>
    <t>Pour plus de précision, merci de remplir l'onglet "Définition SHADOW SOLAR EVO"</t>
  </si>
  <si>
    <t>Surface au sol (m²)</t>
  </si>
  <si>
    <t>Surface (m²)</t>
  </si>
  <si>
    <t>Puissance crête* (kWc)</t>
  </si>
  <si>
    <t>Peak Power (kWp)</t>
  </si>
  <si>
    <t>*Puissance du module PV à renseigner dans l'onglet Définition</t>
  </si>
  <si>
    <t>PRIX STRUCTURE SEULE</t>
  </si>
  <si>
    <t>PRICE OF THE PERGOLA STRUCTURE</t>
  </si>
  <si>
    <t>Version 2 PIEDS</t>
  </si>
  <si>
    <t>2 feet</t>
  </si>
  <si>
    <t>Version 4 PIEDS</t>
  </si>
  <si>
    <t>4 feet</t>
  </si>
  <si>
    <t>PRIX EQUIPEMENT 100% PHOTOVOLTAÏQUE</t>
  </si>
  <si>
    <t>(Modules, micro-onduleurs, câbles, coffret de protection)</t>
  </si>
  <si>
    <t>Prix Public recommandé</t>
  </si>
  <si>
    <t>Recommended retail price</t>
  </si>
  <si>
    <t>OPTIONS</t>
  </si>
  <si>
    <t>BIOCLIMATIQUE</t>
  </si>
  <si>
    <t>BIOCLIMATIC</t>
  </si>
  <si>
    <t xml:space="preserve"> (1 rangée de 5 lames + actionneur)</t>
  </si>
  <si>
    <t>(1 row of 5 blades + motor)</t>
  </si>
  <si>
    <t>STRIP LED PERIPHERIQUE</t>
  </si>
  <si>
    <t>PERIPHERAL STRIP LED</t>
  </si>
  <si>
    <t>SPOTS LED ENCASTRABLES</t>
  </si>
  <si>
    <t>BUILD-IN WHITE LED SPOTLIGHT</t>
  </si>
  <si>
    <t>SCREEN PERIPHERIQUE</t>
  </si>
  <si>
    <t>SURROUNDING SCREEN</t>
  </si>
  <si>
    <t>HABILLAGE</t>
  </si>
  <si>
    <t>CEILING</t>
  </si>
  <si>
    <t xml:space="preserve">à partir de </t>
  </si>
  <si>
    <t>from</t>
  </si>
  <si>
    <t>Base de Tarif Prix Publics hors remise</t>
  </si>
  <si>
    <t>Retail prices without discount</t>
  </si>
  <si>
    <t>Tarifs valables au</t>
  </si>
  <si>
    <t>This document is not contractual. Data and prices may vary.</t>
  </si>
  <si>
    <t xml:space="preserve">Pour tout renseignement, contactez notre service commercial : </t>
  </si>
  <si>
    <t>For any complementary information, please contact our sales department:</t>
  </si>
  <si>
    <t xml:space="preserve">commercial.france@irfts.com </t>
  </si>
  <si>
    <t>export@irfts.com</t>
  </si>
  <si>
    <t>IMPLANTATION ET ORIENTATION DES FORMATS</t>
  </si>
  <si>
    <t>FORMATS</t>
  </si>
  <si>
    <t>modules PV</t>
  </si>
  <si>
    <t>PV modules</t>
  </si>
  <si>
    <t>Matériel photovoltaïque</t>
  </si>
  <si>
    <t>Référence : module PV de 300 Wc</t>
  </si>
  <si>
    <t>Based on 300 Wp PV modules</t>
  </si>
  <si>
    <t>For more detailed prices, please fill the "Définition SHADOW SOLAR EVO" sheet in.</t>
  </si>
  <si>
    <t>NOT AVAILABLE</t>
  </si>
  <si>
    <t>*Peak power of modules to be filled in in the Definition sheet</t>
  </si>
  <si>
    <t>L x l x Height 2728mm (Foot height 2400mm)</t>
  </si>
  <si>
    <t>H=3500mm FEET</t>
  </si>
  <si>
    <t>PIEDS H=3500 mm</t>
  </si>
  <si>
    <t>2 pcs</t>
  </si>
  <si>
    <t>TARIF LIVRAISON (France continentale uniquement)</t>
  </si>
  <si>
    <t>Vue rapide - Définition tarifaire IRFTS SHADOW SOLAR EVOLUTION - Prix Publics HT</t>
  </si>
  <si>
    <t>Rapid view - IRFTS SHADOW SOLAR EVOLUTION prices - Net VAT Retail Prices</t>
  </si>
  <si>
    <t>Set von 2</t>
  </si>
  <si>
    <t>Bodenfläche (m²)</t>
  </si>
  <si>
    <t>Höchste Leistung (kWp)</t>
  </si>
  <si>
    <t>*Basierend auf 300 Wp PV-Modulen</t>
  </si>
  <si>
    <t>L. x B. x Höhe 2672mm (Pfostenhöhe 2400mm)</t>
  </si>
  <si>
    <t>PREIS VON DER PERGOLA-STRUKTUR</t>
  </si>
  <si>
    <t>2 Pfosten</t>
  </si>
  <si>
    <t>4 Pfosten</t>
  </si>
  <si>
    <t>PREIS FÜR EINE 100% PHOTOVOLTAÏSCHE AUSRÜSTUNG</t>
  </si>
  <si>
    <t>(Module, Mikro-Wechselrichter, Kabel, elektrischer Schutzkasten)</t>
  </si>
  <si>
    <t>Empfohlener Verkaufspreis Ohne MWSTr.</t>
  </si>
  <si>
    <t>OPTIONEN</t>
  </si>
  <si>
    <t>BIOKLIMATISCH</t>
  </si>
  <si>
    <t>(1 Reihe von 5 Lamellen + Motor)</t>
  </si>
  <si>
    <t xml:space="preserve">LED-LICHTBAND </t>
  </si>
  <si>
    <t>EINGEBAUTER LED-STRAHLER</t>
  </si>
  <si>
    <t>SEITENBLENDE</t>
  </si>
  <si>
    <t>DACHUNTERDECKE</t>
  </si>
  <si>
    <t>von</t>
  </si>
  <si>
    <t>NICHT VERFÜGBAR</t>
  </si>
  <si>
    <t>Brutto Buchpreise</t>
  </si>
  <si>
    <t>Preise gültig am</t>
  </si>
  <si>
    <t>Unverbindliche Unterlage. Daten und Preisänderungen vorbehlaten</t>
  </si>
  <si>
    <t>Für detailliertere Preise füllen Sie das Formular "Definition Pergosolar" bitte aus.</t>
  </si>
  <si>
    <t>Für weitere Informationen wenden Sie sich bitte an unsere Verkaufsabteilung.</t>
  </si>
  <si>
    <t xml:space="preserve">export@irfts.com </t>
  </si>
  <si>
    <t>ABMESSUNGEN</t>
  </si>
  <si>
    <t>PV-Module</t>
  </si>
  <si>
    <t>Schnellansicht - IRFTS PERGOSOLAR Preise - Brutto-Verkaufspreise ausser MWSTr.</t>
  </si>
  <si>
    <t>PV-Solar Ausrüstung</t>
  </si>
  <si>
    <t>Basierend auf 300 Wp PV-Modulen</t>
  </si>
  <si>
    <t>Pfosten H.3500 mm</t>
  </si>
  <si>
    <t>PRICE 100% PHOTOVOLTAIC EQUIPMENT</t>
  </si>
  <si>
    <t>(Modules, micro inverters, cables, protection box)</t>
  </si>
  <si>
    <t>Rates valid at</t>
  </si>
  <si>
    <t>Photovoltaic equipment</t>
  </si>
  <si>
    <t>SHAS7011F7016M</t>
  </si>
  <si>
    <t>SHAS7021F7016M</t>
  </si>
  <si>
    <t>SHAS7031F7016M</t>
  </si>
  <si>
    <t>SHAS7041F7016M</t>
  </si>
  <si>
    <t>ASM0P00750AB</t>
  </si>
  <si>
    <t>KIT VISSERIE SHADOW SOLAR EVO 1F</t>
  </si>
  <si>
    <t>SCREW SET SHADOW SOLAR EVO 1F</t>
  </si>
  <si>
    <t>SCHRAUBEN KIT SHADOW SOLAR EVO 1F</t>
  </si>
  <si>
    <t>NOTA : Livraison des plaques de Makrolon par UDV 60 pcs.</t>
  </si>
  <si>
    <t>NOTA : Supply of  Makrolon panels by  60 pcs sales unit.</t>
  </si>
  <si>
    <t>Ce document est purement informatif et ne peut être tenu pour une base contractuelle. Prix basés sur version 1F.</t>
  </si>
  <si>
    <t>BELGIQUE / LUXEMBOURG</t>
  </si>
  <si>
    <t>BELGIUM/ LUXEMBOURG</t>
  </si>
  <si>
    <t>BELGIEN / LUXEMBURG</t>
  </si>
  <si>
    <t>FRANCE CONTINENTALE</t>
  </si>
  <si>
    <t>MAINLAND France</t>
  </si>
  <si>
    <t>FESTLAND FRANKREICH</t>
  </si>
  <si>
    <t>(disponible uniquement en France continentale, Belgique et Luxembourg)</t>
  </si>
  <si>
    <t>(Mainland France, Belgium and Luxembourg ONLY - NOT AVAILABLE for other countries)</t>
  </si>
  <si>
    <t>(lediglich innerhalb Festland Frankreichs, Belgien und Luxemburg)</t>
  </si>
  <si>
    <t>Lieu de livraison :</t>
  </si>
  <si>
    <t>Place of delivery:</t>
  </si>
  <si>
    <t>Lieferung Ort:</t>
  </si>
  <si>
    <t>Forfait Belgique/Luxembourg</t>
  </si>
  <si>
    <t xml:space="preserve">ADD DELIVERY CHARGES Belgium / Luxembourg </t>
  </si>
  <si>
    <t>zusätzlich FRACHTKOSTEN Belgien / Luxemburg</t>
  </si>
  <si>
    <t>LIVR_10</t>
  </si>
  <si>
    <t>3/ IRFTS Nomenclature</t>
  </si>
  <si>
    <t>3/ IRFTS Stückliste</t>
  </si>
  <si>
    <t>4/ Noter la remise IRFTS</t>
  </si>
  <si>
    <t>4/ Mention IRFTS discount</t>
  </si>
  <si>
    <t>4/ IRFTS Rabatt eingeben</t>
  </si>
  <si>
    <t>3/Nomenclature IRFTS</t>
  </si>
  <si>
    <t>5/Nomenclature Distributeur</t>
  </si>
  <si>
    <t>2/ Calcul Eurocodes</t>
  </si>
  <si>
    <t>Nomenclature des SHADOW SOLAR EVOLUTION</t>
  </si>
  <si>
    <t>Parts list for the SHADOW SOLAR EVOLUTION</t>
  </si>
  <si>
    <t>Stückliste SHADOW SOLAR EVOLUTION</t>
  </si>
  <si>
    <t>Listino Ref. per la tettoia SHADOW SOLAR EVOLUTION</t>
  </si>
  <si>
    <t>SHAS7031F9010</t>
  </si>
  <si>
    <t>v2.3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</si>
</sst>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"/>
    <numFmt numFmtId="166" formatCode="0.0"/>
    <numFmt numFmtId="167" formatCode="#,##0&quot;  mm&quot;"/>
    <numFmt numFmtId="168" formatCode="&quot;longueur &quot;#,##0&quot;   mm&quot;"/>
    <numFmt numFmtId="169" formatCode="&quot;Soit &quot;#,##0&quot;  pieds&quot;"/>
    <numFmt numFmtId="170" formatCode="&quot;Soit &quot;#,##0&quot; Equerres de fixations&quot;"/>
    <numFmt numFmtId="171" formatCode="#,##0&quot;  Wc&quot;"/>
    <numFmt numFmtId="172" formatCode="#0&quot;  Pa&quot;"/>
    <numFmt numFmtId="173" formatCode="#,##0&quot;  mm Maxi&quot;"/>
    <numFmt numFmtId="174" formatCode="&quot;Soit &quot;#0"/>
    <numFmt numFmtId="175" formatCode="&quot;P &quot;#,##0&quot; mm &quot;"/>
    <numFmt numFmtId="176" formatCode="&quot;L &quot;#,##0&quot;  mm &quot;"/>
    <numFmt numFmtId="177" formatCode="&quot;h &quot;#,##0&quot;  mm Maxi&quot;"/>
  </numFmts>
  <fonts count="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sz val="18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 val="double"/>
      <sz val="22"/>
      <color theme="1"/>
      <name val="Calibri"/>
      <family val="2"/>
      <scheme val="minor"/>
    </font>
    <font>
      <b/>
      <u val="double"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omic Sans MS"/>
      <family val="4"/>
    </font>
    <font>
      <sz val="10"/>
      <color rgb="FF000000"/>
      <name val="Comic Sans MS"/>
      <family val="4"/>
    </font>
    <font>
      <u/>
      <sz val="11"/>
      <color rgb="FF000000"/>
      <name val="Comic Sans MS"/>
      <family val="4"/>
    </font>
    <font>
      <b/>
      <u/>
      <sz val="11"/>
      <color rgb="FF000000"/>
      <name val="Comic Sans MS"/>
      <family val="4"/>
    </font>
    <font>
      <b/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0"/>
      <name val="Adobe Heiti Std R"/>
      <family val="2"/>
      <charset val="128"/>
    </font>
    <font>
      <i/>
      <sz val="14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dobe Heiti Std R"/>
      <family val="2"/>
      <charset val="128"/>
    </font>
    <font>
      <b/>
      <sz val="10"/>
      <color theme="1"/>
      <name val="Adobe Heiti Std R"/>
      <family val="2"/>
      <charset val="128"/>
    </font>
    <font>
      <sz val="12"/>
      <color theme="1"/>
      <name val="Adobe Heiti Std R"/>
      <family val="2"/>
      <charset val="128"/>
    </font>
    <font>
      <b/>
      <i/>
      <sz val="12"/>
      <name val="Calibri"/>
      <family val="2"/>
      <scheme val="minor"/>
    </font>
    <font>
      <b/>
      <i/>
      <sz val="8"/>
      <name val="Calibri"/>
      <family val="2"/>
      <scheme val="minor"/>
    </font>
    <font>
      <i/>
      <sz val="8"/>
      <name val="Calibri"/>
      <family val="2"/>
      <scheme val="minor"/>
    </font>
    <font>
      <b/>
      <sz val="14"/>
      <name val="Calibri"/>
      <family val="2"/>
      <scheme val="minor"/>
    </font>
    <font>
      <i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Adobe Heiti Std R"/>
      <family val="2"/>
      <charset val="128"/>
    </font>
    <font>
      <b/>
      <sz val="2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6F6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98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85" fillId="0" borderId="0" applyNumberFormat="0" applyFill="0" applyBorder="0" applyAlignment="0" applyProtection="0"/>
  </cellStyleXfs>
  <cellXfs count="629">
    <xf numFmtId="0" fontId="0" fillId="0" borderId="0" xfId="0"/>
    <xf numFmtId="0" fontId="0" fillId="5" borderId="0" xfId="0" applyFill="1"/>
    <xf numFmtId="0" fontId="0" fillId="3" borderId="0" xfId="0" applyFill="1"/>
    <xf numFmtId="0" fontId="7" fillId="3" borderId="0" xfId="0" applyFont="1" applyFill="1" applyAlignment="1">
      <alignment horizontal="center"/>
    </xf>
    <xf numFmtId="0" fontId="6" fillId="3" borderId="0" xfId="0" applyFont="1" applyFill="1"/>
    <xf numFmtId="0" fontId="3" fillId="4" borderId="3" xfId="0" applyFont="1" applyFill="1" applyBorder="1"/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center"/>
    </xf>
    <xf numFmtId="44" fontId="5" fillId="6" borderId="1" xfId="1" applyFont="1" applyFill="1" applyBorder="1"/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44" fontId="5" fillId="3" borderId="1" xfId="1" applyFont="1" applyFill="1" applyBorder="1"/>
    <xf numFmtId="0" fontId="2" fillId="3" borderId="0" xfId="0" applyFont="1" applyFill="1"/>
    <xf numFmtId="0" fontId="5" fillId="3" borderId="1" xfId="0" applyFont="1" applyFill="1" applyBorder="1"/>
    <xf numFmtId="0" fontId="3" fillId="4" borderId="1" xfId="0" applyFont="1" applyFill="1" applyBorder="1"/>
    <xf numFmtId="0" fontId="5" fillId="3" borderId="6" xfId="0" applyFont="1" applyFill="1" applyBorder="1"/>
    <xf numFmtId="0" fontId="3" fillId="4" borderId="6" xfId="0" applyFont="1" applyFill="1" applyBorder="1"/>
    <xf numFmtId="0" fontId="0" fillId="3" borderId="9" xfId="0" applyFill="1" applyBorder="1"/>
    <xf numFmtId="44" fontId="0" fillId="3" borderId="0" xfId="0" applyNumberFormat="1" applyFill="1"/>
    <xf numFmtId="9" fontId="5" fillId="2" borderId="6" xfId="0" applyNumberFormat="1" applyFont="1" applyFill="1" applyBorder="1" applyProtection="1">
      <protection locked="0"/>
    </xf>
    <xf numFmtId="0" fontId="0" fillId="0" borderId="10" xfId="0" applyBorder="1"/>
    <xf numFmtId="0" fontId="9" fillId="0" borderId="10" xfId="0" applyFont="1" applyBorder="1"/>
    <xf numFmtId="0" fontId="9" fillId="3" borderId="10" xfId="0" applyFont="1" applyFill="1" applyBorder="1"/>
    <xf numFmtId="0" fontId="9" fillId="0" borderId="10" xfId="2" applyFont="1" applyBorder="1"/>
    <xf numFmtId="0" fontId="9" fillId="0" borderId="11" xfId="0" applyFont="1" applyBorder="1"/>
    <xf numFmtId="0" fontId="0" fillId="0" borderId="11" xfId="0" applyBorder="1"/>
    <xf numFmtId="0" fontId="9" fillId="3" borderId="13" xfId="0" applyFont="1" applyFill="1" applyBorder="1"/>
    <xf numFmtId="0" fontId="0" fillId="0" borderId="13" xfId="0" applyBorder="1"/>
    <xf numFmtId="0" fontId="0" fillId="3" borderId="10" xfId="0" applyFill="1" applyBorder="1"/>
    <xf numFmtId="0" fontId="0" fillId="0" borderId="15" xfId="0" applyBorder="1"/>
    <xf numFmtId="0" fontId="9" fillId="0" borderId="10" xfId="0" applyFont="1" applyBorder="1" applyAlignment="1">
      <alignment horizontal="left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0" fillId="3" borderId="19" xfId="0" applyFill="1" applyBorder="1"/>
    <xf numFmtId="0" fontId="0" fillId="0" borderId="20" xfId="0" applyBorder="1"/>
    <xf numFmtId="0" fontId="0" fillId="0" borderId="21" xfId="0" applyBorder="1"/>
    <xf numFmtId="0" fontId="0" fillId="0" borderId="16" xfId="0" applyBorder="1"/>
    <xf numFmtId="0" fontId="0" fillId="0" borderId="22" xfId="0" applyBorder="1"/>
    <xf numFmtId="0" fontId="0" fillId="0" borderId="18" xfId="0" applyBorder="1"/>
    <xf numFmtId="0" fontId="0" fillId="3" borderId="26" xfId="0" applyFill="1" applyBorder="1"/>
    <xf numFmtId="0" fontId="5" fillId="6" borderId="8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5" fillId="3" borderId="24" xfId="0" applyFont="1" applyFill="1" applyBorder="1"/>
    <xf numFmtId="0" fontId="5" fillId="6" borderId="4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5" fillId="3" borderId="4" xfId="0" applyFont="1" applyFill="1" applyBorder="1"/>
    <xf numFmtId="0" fontId="5" fillId="3" borderId="5" xfId="0" applyFont="1" applyFill="1" applyBorder="1"/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164" fontId="0" fillId="3" borderId="0" xfId="3" applyFont="1" applyFill="1"/>
    <xf numFmtId="0" fontId="0" fillId="3" borderId="27" xfId="0" applyFill="1" applyBorder="1"/>
    <xf numFmtId="0" fontId="3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44" fontId="14" fillId="3" borderId="1" xfId="1" applyFont="1" applyFill="1" applyBorder="1" applyAlignment="1">
      <alignment horizontal="center"/>
    </xf>
    <xf numFmtId="44" fontId="14" fillId="3" borderId="6" xfId="1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0" fontId="16" fillId="3" borderId="0" xfId="0" applyFont="1" applyFill="1" applyAlignment="1" applyProtection="1">
      <alignment horizontal="left"/>
      <protection locked="0"/>
    </xf>
    <xf numFmtId="0" fontId="16" fillId="3" borderId="0" xfId="0" applyFont="1" applyFill="1" applyAlignment="1">
      <alignment horizontal="left"/>
    </xf>
    <xf numFmtId="0" fontId="5" fillId="2" borderId="1" xfId="0" applyFont="1" applyFill="1" applyBorder="1" applyAlignment="1" applyProtection="1">
      <alignment horizontal="center"/>
      <protection locked="0"/>
    </xf>
    <xf numFmtId="44" fontId="5" fillId="3" borderId="6" xfId="1" applyFont="1" applyFill="1" applyBorder="1"/>
    <xf numFmtId="0" fontId="7" fillId="5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5" fillId="3" borderId="1" xfId="0" applyFont="1" applyFill="1" applyBorder="1" applyAlignment="1" applyProtection="1">
      <alignment horizontal="center"/>
      <protection locked="0"/>
    </xf>
    <xf numFmtId="0" fontId="5" fillId="7" borderId="4" xfId="0" applyFont="1" applyFill="1" applyBorder="1" applyAlignment="1">
      <alignment horizontal="left"/>
    </xf>
    <xf numFmtId="0" fontId="5" fillId="7" borderId="8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center"/>
    </xf>
    <xf numFmtId="0" fontId="2" fillId="0" borderId="0" xfId="0" applyFont="1"/>
    <xf numFmtId="0" fontId="0" fillId="0" borderId="29" xfId="0" applyBorder="1"/>
    <xf numFmtId="0" fontId="0" fillId="0" borderId="25" xfId="0" applyBorder="1"/>
    <xf numFmtId="0" fontId="0" fillId="0" borderId="17" xfId="0" applyBorder="1"/>
    <xf numFmtId="0" fontId="20" fillId="0" borderId="0" xfId="0" applyFont="1"/>
    <xf numFmtId="0" fontId="0" fillId="0" borderId="23" xfId="0" applyBorder="1"/>
    <xf numFmtId="0" fontId="21" fillId="0" borderId="22" xfId="0" applyFont="1" applyBorder="1"/>
    <xf numFmtId="0" fontId="15" fillId="3" borderId="22" xfId="0" applyFont="1" applyFill="1" applyBorder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0" borderId="26" xfId="0" applyBorder="1"/>
    <xf numFmtId="0" fontId="0" fillId="0" borderId="19" xfId="0" applyBorder="1"/>
    <xf numFmtId="0" fontId="22" fillId="0" borderId="22" xfId="0" applyFont="1" applyBorder="1" applyAlignment="1">
      <alignment horizontal="left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0" fillId="0" borderId="0" xfId="0" applyAlignment="1">
      <alignment wrapText="1"/>
    </xf>
    <xf numFmtId="0" fontId="0" fillId="3" borderId="0" xfId="0" applyFill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vertical="center" wrapText="1" readingOrder="1"/>
    </xf>
    <xf numFmtId="0" fontId="0" fillId="0" borderId="10" xfId="0" applyBorder="1" applyAlignment="1">
      <alignment vertical="center" readingOrder="1"/>
    </xf>
    <xf numFmtId="0" fontId="0" fillId="0" borderId="10" xfId="0" applyBorder="1" applyAlignment="1">
      <alignment horizontal="left" wrapText="1" readingOrder="1"/>
    </xf>
    <xf numFmtId="0" fontId="27" fillId="3" borderId="40" xfId="0" applyFont="1" applyFill="1" applyBorder="1" applyAlignment="1">
      <alignment horizontal="center" vertical="center"/>
    </xf>
    <xf numFmtId="0" fontId="27" fillId="3" borderId="36" xfId="0" applyFont="1" applyFill="1" applyBorder="1" applyAlignment="1">
      <alignment horizontal="left" vertical="center"/>
    </xf>
    <xf numFmtId="0" fontId="28" fillId="3" borderId="33" xfId="0" applyFont="1" applyFill="1" applyBorder="1" applyAlignment="1">
      <alignment horizontal="right" vertical="center"/>
    </xf>
    <xf numFmtId="0" fontId="28" fillId="3" borderId="35" xfId="0" applyFont="1" applyFill="1" applyBorder="1" applyAlignment="1">
      <alignment horizontal="right" vertical="center"/>
    </xf>
    <xf numFmtId="0" fontId="27" fillId="3" borderId="40" xfId="0" applyFont="1" applyFill="1" applyBorder="1" applyAlignment="1">
      <alignment horizontal="left" vertical="center"/>
    </xf>
    <xf numFmtId="0" fontId="27" fillId="3" borderId="33" xfId="0" applyFont="1" applyFill="1" applyBorder="1" applyAlignment="1">
      <alignment horizontal="left" vertical="center"/>
    </xf>
    <xf numFmtId="0" fontId="27" fillId="3" borderId="3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42" xfId="0" applyBorder="1" applyAlignment="1">
      <alignment horizontal="center"/>
    </xf>
    <xf numFmtId="0" fontId="29" fillId="3" borderId="0" xfId="0" applyFont="1" applyFill="1" applyAlignment="1" applyProtection="1">
      <alignment horizontal="center" wrapText="1"/>
      <protection locked="0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0" xfId="0" applyBorder="1" applyAlignment="1">
      <alignment horizontal="center" wrapText="1"/>
    </xf>
    <xf numFmtId="0" fontId="0" fillId="8" borderId="10" xfId="0" applyFill="1" applyBorder="1" applyAlignment="1">
      <alignment horizontal="center" vertical="center"/>
    </xf>
    <xf numFmtId="0" fontId="25" fillId="11" borderId="10" xfId="0" applyFont="1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0" fillId="9" borderId="46" xfId="0" applyFill="1" applyBorder="1" applyAlignment="1">
      <alignment horizontal="center" vertical="center"/>
    </xf>
    <xf numFmtId="0" fontId="0" fillId="10" borderId="45" xfId="0" applyFill="1" applyBorder="1" applyAlignment="1">
      <alignment horizontal="center" vertical="center"/>
    </xf>
    <xf numFmtId="0" fontId="25" fillId="0" borderId="0" xfId="0" applyFont="1" applyAlignment="1">
      <alignment wrapText="1"/>
    </xf>
    <xf numFmtId="0" fontId="33" fillId="11" borderId="10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0" fillId="11" borderId="44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5" fillId="0" borderId="0" xfId="0" applyFont="1" applyAlignment="1">
      <alignment vertical="center" wrapText="1"/>
    </xf>
    <xf numFmtId="0" fontId="36" fillId="0" borderId="47" xfId="0" applyFont="1" applyBorder="1"/>
    <xf numFmtId="1" fontId="0" fillId="0" borderId="0" xfId="0" applyNumberFormat="1" applyAlignment="1">
      <alignment horizontal="center"/>
    </xf>
    <xf numFmtId="0" fontId="36" fillId="0" borderId="7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7" xfId="0" applyFont="1" applyBorder="1" applyAlignment="1">
      <alignment vertical="center" wrapText="1"/>
    </xf>
    <xf numFmtId="0" fontId="36" fillId="0" borderId="50" xfId="0" applyFont="1" applyBorder="1" applyAlignment="1">
      <alignment horizontal="center"/>
    </xf>
    <xf numFmtId="0" fontId="38" fillId="0" borderId="50" xfId="0" applyFont="1" applyBorder="1" applyAlignment="1">
      <alignment vertical="center" wrapText="1"/>
    </xf>
    <xf numFmtId="0" fontId="0" fillId="0" borderId="52" xfId="0" applyBorder="1" applyAlignment="1">
      <alignment horizontal="center"/>
    </xf>
    <xf numFmtId="1" fontId="0" fillId="0" borderId="48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1" fontId="9" fillId="3" borderId="2" xfId="0" applyNumberFormat="1" applyFont="1" applyFill="1" applyBorder="1" applyAlignment="1">
      <alignment horizontal="center"/>
    </xf>
    <xf numFmtId="1" fontId="9" fillId="3" borderId="28" xfId="0" applyNumberFormat="1" applyFont="1" applyFill="1" applyBorder="1" applyAlignment="1">
      <alignment horizontal="center"/>
    </xf>
    <xf numFmtId="1" fontId="9" fillId="3" borderId="7" xfId="0" applyNumberFormat="1" applyFont="1" applyFill="1" applyBorder="1" applyAlignment="1">
      <alignment horizontal="center"/>
    </xf>
    <xf numFmtId="1" fontId="9" fillId="3" borderId="0" xfId="0" applyNumberFormat="1" applyFont="1" applyFill="1" applyAlignment="1">
      <alignment horizontal="center"/>
    </xf>
    <xf numFmtId="1" fontId="26" fillId="3" borderId="11" xfId="0" applyNumberFormat="1" applyFont="1" applyFill="1" applyBorder="1" applyAlignment="1">
      <alignment horizontal="left"/>
    </xf>
    <xf numFmtId="1" fontId="26" fillId="3" borderId="13" xfId="0" applyNumberFormat="1" applyFont="1" applyFill="1" applyBorder="1" applyAlignment="1">
      <alignment horizontal="left"/>
    </xf>
    <xf numFmtId="2" fontId="9" fillId="3" borderId="10" xfId="0" applyNumberFormat="1" applyFont="1" applyFill="1" applyBorder="1" applyAlignment="1">
      <alignment horizontal="center"/>
    </xf>
    <xf numFmtId="1" fontId="25" fillId="0" borderId="0" xfId="0" applyNumberFormat="1" applyFont="1" applyAlignment="1">
      <alignment horizontal="left" vertical="top"/>
    </xf>
    <xf numFmtId="1" fontId="9" fillId="3" borderId="10" xfId="0" applyNumberFormat="1" applyFont="1" applyFill="1" applyBorder="1" applyAlignment="1">
      <alignment horizontal="center"/>
    </xf>
    <xf numFmtId="1" fontId="25" fillId="0" borderId="11" xfId="0" applyNumberFormat="1" applyFont="1" applyBorder="1" applyAlignment="1">
      <alignment horizontal="center" vertical="top"/>
    </xf>
    <xf numFmtId="2" fontId="25" fillId="0" borderId="11" xfId="0" applyNumberFormat="1" applyFont="1" applyBorder="1" applyAlignment="1">
      <alignment horizontal="center" vertical="top"/>
    </xf>
    <xf numFmtId="1" fontId="25" fillId="0" borderId="11" xfId="0" applyNumberFormat="1" applyFont="1" applyBorder="1" applyAlignment="1">
      <alignment horizontal="left" vertical="top"/>
    </xf>
    <xf numFmtId="2" fontId="25" fillId="0" borderId="10" xfId="0" applyNumberFormat="1" applyFont="1" applyBorder="1" applyAlignment="1">
      <alignment horizontal="center" vertical="top"/>
    </xf>
    <xf numFmtId="1" fontId="0" fillId="0" borderId="4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25" fillId="0" borderId="11" xfId="0" applyNumberFormat="1" applyFont="1" applyBorder="1" applyAlignment="1">
      <alignment horizontal="left"/>
    </xf>
    <xf numFmtId="1" fontId="25" fillId="0" borderId="13" xfId="0" applyNumberFormat="1" applyFont="1" applyBorder="1" applyAlignment="1">
      <alignment horizontal="left"/>
    </xf>
    <xf numFmtId="2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9" fillId="3" borderId="4" xfId="0" applyNumberFormat="1" applyFont="1" applyFill="1" applyBorder="1" applyAlignment="1">
      <alignment horizontal="center"/>
    </xf>
    <xf numFmtId="1" fontId="9" fillId="3" borderId="8" xfId="0" applyNumberFormat="1" applyFont="1" applyFill="1" applyBorder="1" applyAlignment="1">
      <alignment horizontal="center"/>
    </xf>
    <xf numFmtId="1" fontId="42" fillId="0" borderId="4" xfId="0" applyNumberFormat="1" applyFont="1" applyBorder="1" applyAlignment="1">
      <alignment vertical="top"/>
    </xf>
    <xf numFmtId="1" fontId="42" fillId="0" borderId="0" xfId="0" applyNumberFormat="1" applyFont="1" applyAlignment="1">
      <alignment vertical="top"/>
    </xf>
    <xf numFmtId="1" fontId="42" fillId="0" borderId="8" xfId="0" applyNumberFormat="1" applyFont="1" applyBorder="1" applyAlignment="1">
      <alignment vertical="top"/>
    </xf>
    <xf numFmtId="1" fontId="25" fillId="0" borderId="13" xfId="0" applyNumberFormat="1" applyFont="1" applyBorder="1" applyAlignment="1">
      <alignment horizontal="left" vertical="top"/>
    </xf>
    <xf numFmtId="2" fontId="0" fillId="0" borderId="10" xfId="0" applyNumberFormat="1" applyBorder="1" applyAlignment="1">
      <alignment horizontal="center" vertical="top"/>
    </xf>
    <xf numFmtId="1" fontId="42" fillId="0" borderId="10" xfId="0" applyNumberFormat="1" applyFont="1" applyBorder="1" applyAlignment="1">
      <alignment vertical="top"/>
    </xf>
    <xf numFmtId="166" fontId="42" fillId="0" borderId="4" xfId="0" applyNumberFormat="1" applyFont="1" applyBorder="1" applyAlignment="1">
      <alignment horizontal="center" vertical="top"/>
    </xf>
    <xf numFmtId="166" fontId="42" fillId="0" borderId="0" xfId="0" applyNumberFormat="1" applyFont="1" applyAlignment="1">
      <alignment horizontal="center" vertical="top"/>
    </xf>
    <xf numFmtId="166" fontId="42" fillId="0" borderId="8" xfId="0" applyNumberFormat="1" applyFont="1" applyBorder="1" applyAlignment="1">
      <alignment horizontal="center" vertical="top"/>
    </xf>
    <xf numFmtId="1" fontId="42" fillId="0" borderId="4" xfId="0" applyNumberFormat="1" applyFont="1" applyBorder="1" applyAlignment="1">
      <alignment horizontal="center" vertical="top"/>
    </xf>
    <xf numFmtId="1" fontId="42" fillId="0" borderId="0" xfId="0" applyNumberFormat="1" applyFont="1" applyAlignment="1">
      <alignment horizontal="center" vertical="top"/>
    </xf>
    <xf numFmtId="1" fontId="42" fillId="0" borderId="8" xfId="0" applyNumberFormat="1" applyFont="1" applyBorder="1" applyAlignment="1">
      <alignment horizontal="center" vertical="top"/>
    </xf>
    <xf numFmtId="0" fontId="0" fillId="9" borderId="10" xfId="0" applyFill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11" xfId="0" applyFont="1" applyBorder="1" applyAlignment="1">
      <alignment horizontal="left"/>
    </xf>
    <xf numFmtId="0" fontId="0" fillId="0" borderId="13" xfId="0" applyBorder="1" applyAlignment="1">
      <alignment horizontal="left"/>
    </xf>
    <xf numFmtId="2" fontId="42" fillId="0" borderId="10" xfId="0" applyNumberFormat="1" applyFont="1" applyBorder="1" applyAlignment="1">
      <alignment horizontal="center" vertical="top"/>
    </xf>
    <xf numFmtId="0" fontId="44" fillId="7" borderId="8" xfId="0" applyFont="1" applyFill="1" applyBorder="1" applyAlignment="1">
      <alignment horizontal="center"/>
    </xf>
    <xf numFmtId="1" fontId="42" fillId="0" borderId="10" xfId="0" applyNumberFormat="1" applyFont="1" applyBorder="1" applyAlignment="1">
      <alignment horizontal="center" vertical="top"/>
    </xf>
    <xf numFmtId="1" fontId="0" fillId="0" borderId="13" xfId="0" applyNumberFormat="1" applyBorder="1" applyAlignment="1">
      <alignment horizontal="left" vertical="top"/>
    </xf>
    <xf numFmtId="0" fontId="25" fillId="0" borderId="13" xfId="0" applyFont="1" applyBorder="1" applyAlignment="1">
      <alignment horizontal="left"/>
    </xf>
    <xf numFmtId="1" fontId="0" fillId="0" borderId="10" xfId="0" applyNumberFormat="1" applyBorder="1" applyAlignment="1">
      <alignment horizontal="center" vertical="top"/>
    </xf>
    <xf numFmtId="0" fontId="25" fillId="0" borderId="10" xfId="0" applyFont="1" applyBorder="1" applyAlignment="1">
      <alignment horizontal="center"/>
    </xf>
    <xf numFmtId="0" fontId="4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8" xfId="0" applyFont="1" applyBorder="1" applyAlignment="1">
      <alignment vertical="center" wrapText="1"/>
    </xf>
    <xf numFmtId="0" fontId="47" fillId="0" borderId="4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5" fillId="0" borderId="29" xfId="0" applyFont="1" applyBorder="1" applyAlignment="1">
      <alignment vertical="center" wrapText="1"/>
    </xf>
    <xf numFmtId="0" fontId="25" fillId="0" borderId="48" xfId="0" applyFont="1" applyBorder="1" applyAlignment="1">
      <alignment vertical="center" wrapText="1"/>
    </xf>
    <xf numFmtId="0" fontId="25" fillId="0" borderId="49" xfId="0" applyFont="1" applyBorder="1" applyAlignment="1">
      <alignment vertical="center" wrapText="1"/>
    </xf>
    <xf numFmtId="0" fontId="48" fillId="0" borderId="8" xfId="0" applyFont="1" applyBorder="1" applyAlignment="1">
      <alignment vertical="center" wrapText="1"/>
    </xf>
    <xf numFmtId="0" fontId="48" fillId="0" borderId="4" xfId="0" applyFont="1" applyBorder="1" applyAlignment="1">
      <alignment vertical="center" wrapText="1"/>
    </xf>
    <xf numFmtId="0" fontId="48" fillId="0" borderId="0" xfId="0" applyFont="1" applyAlignment="1">
      <alignment vertical="center" wrapText="1"/>
    </xf>
    <xf numFmtId="0" fontId="49" fillId="0" borderId="12" xfId="0" applyFont="1" applyBorder="1" applyAlignment="1">
      <alignment vertical="center" wrapText="1"/>
    </xf>
    <xf numFmtId="0" fontId="49" fillId="0" borderId="47" xfId="0" applyFont="1" applyBorder="1" applyAlignment="1">
      <alignment vertical="center" wrapText="1"/>
    </xf>
    <xf numFmtId="0" fontId="49" fillId="0" borderId="14" xfId="0" applyFont="1" applyBorder="1" applyAlignment="1">
      <alignment vertical="center" wrapText="1"/>
    </xf>
    <xf numFmtId="0" fontId="50" fillId="0" borderId="10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46" fillId="0" borderId="8" xfId="0" applyFont="1" applyBorder="1" applyAlignment="1">
      <alignment vertical="center" wrapText="1"/>
    </xf>
    <xf numFmtId="0" fontId="46" fillId="0" borderId="4" xfId="0" applyFont="1" applyBorder="1" applyAlignment="1">
      <alignment vertical="center" wrapText="1"/>
    </xf>
    <xf numFmtId="0" fontId="51" fillId="0" borderId="10" xfId="0" applyFont="1" applyBorder="1" applyAlignment="1">
      <alignment horizontal="center"/>
    </xf>
    <xf numFmtId="0" fontId="42" fillId="0" borderId="4" xfId="0" applyFont="1" applyBorder="1"/>
    <xf numFmtId="2" fontId="44" fillId="7" borderId="0" xfId="0" applyNumberFormat="1" applyFont="1" applyFill="1" applyAlignment="1">
      <alignment horizontal="center"/>
    </xf>
    <xf numFmtId="0" fontId="25" fillId="0" borderId="24" xfId="0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25" fillId="0" borderId="45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15" borderId="10" xfId="0" applyFill="1" applyBorder="1" applyAlignment="1">
      <alignment horizontal="center"/>
    </xf>
    <xf numFmtId="0" fontId="36" fillId="15" borderId="10" xfId="0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1" fontId="0" fillId="9" borderId="1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1" fontId="36" fillId="0" borderId="2" xfId="0" applyNumberFormat="1" applyFont="1" applyBorder="1" applyAlignment="1">
      <alignment vertical="center"/>
    </xf>
    <xf numFmtId="1" fontId="36" fillId="0" borderId="28" xfId="0" applyNumberFormat="1" applyFont="1" applyBorder="1" applyAlignment="1">
      <alignment vertical="center"/>
    </xf>
    <xf numFmtId="1" fontId="36" fillId="0" borderId="51" xfId="0" applyNumberFormat="1" applyFont="1" applyBorder="1" applyAlignment="1">
      <alignment vertical="center"/>
    </xf>
    <xf numFmtId="1" fontId="36" fillId="0" borderId="47" xfId="0" applyNumberFormat="1" applyFont="1" applyBorder="1" applyAlignment="1">
      <alignment vertical="center"/>
    </xf>
    <xf numFmtId="0" fontId="0" fillId="0" borderId="28" xfId="0" applyBorder="1"/>
    <xf numFmtId="0" fontId="0" fillId="0" borderId="9" xfId="0" applyBorder="1"/>
    <xf numFmtId="0" fontId="25" fillId="0" borderId="0" xfId="0" applyFont="1" applyAlignment="1">
      <alignment horizontal="left"/>
    </xf>
    <xf numFmtId="1" fontId="0" fillId="0" borderId="53" xfId="0" quotePrefix="1" applyNumberFormat="1" applyBorder="1" applyAlignment="1">
      <alignment horizontal="center"/>
    </xf>
    <xf numFmtId="0" fontId="0" fillId="3" borderId="4" xfId="0" applyFill="1" applyBorder="1"/>
    <xf numFmtId="0" fontId="7" fillId="5" borderId="0" xfId="0" applyFont="1" applyFill="1"/>
    <xf numFmtId="0" fontId="6" fillId="3" borderId="4" xfId="0" applyFont="1" applyFill="1" applyBorder="1"/>
    <xf numFmtId="0" fontId="5" fillId="3" borderId="0" xfId="0" applyFont="1" applyFill="1"/>
    <xf numFmtId="0" fontId="25" fillId="3" borderId="0" xfId="0" applyFont="1" applyFill="1" applyAlignment="1">
      <alignment horizontal="right"/>
    </xf>
    <xf numFmtId="0" fontId="25" fillId="3" borderId="0" xfId="0" applyFont="1" applyFill="1"/>
    <xf numFmtId="0" fontId="25" fillId="3" borderId="0" xfId="0" applyFont="1" applyFill="1" applyAlignment="1">
      <alignment vertical="top"/>
    </xf>
    <xf numFmtId="0" fontId="30" fillId="3" borderId="0" xfId="0" applyFont="1" applyFill="1"/>
    <xf numFmtId="0" fontId="31" fillId="3" borderId="0" xfId="0" applyFont="1" applyFill="1"/>
    <xf numFmtId="0" fontId="0" fillId="3" borderId="5" xfId="0" applyFill="1" applyBorder="1"/>
    <xf numFmtId="0" fontId="25" fillId="3" borderId="9" xfId="0" applyFont="1" applyFill="1" applyBorder="1"/>
    <xf numFmtId="0" fontId="0" fillId="3" borderId="9" xfId="0" applyFill="1" applyBorder="1" applyAlignment="1" applyProtection="1">
      <alignment horizontal="center"/>
      <protection locked="0"/>
    </xf>
    <xf numFmtId="0" fontId="0" fillId="3" borderId="24" xfId="0" applyFill="1" applyBorder="1"/>
    <xf numFmtId="0" fontId="31" fillId="0" borderId="0" xfId="0" applyFont="1"/>
    <xf numFmtId="0" fontId="31" fillId="0" borderId="0" xfId="0" applyFont="1" applyAlignment="1">
      <alignment horizontal="right"/>
    </xf>
    <xf numFmtId="0" fontId="0" fillId="0" borderId="13" xfId="0" applyBorder="1" applyAlignment="1">
      <alignment horizontal="center" vertical="center"/>
    </xf>
    <xf numFmtId="3" fontId="0" fillId="0" borderId="10" xfId="0" applyNumberFormat="1" applyBorder="1"/>
    <xf numFmtId="3" fontId="0" fillId="0" borderId="0" xfId="0" applyNumberFormat="1"/>
    <xf numFmtId="0" fontId="53" fillId="8" borderId="10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53" fillId="12" borderId="10" xfId="0" applyFont="1" applyFill="1" applyBorder="1" applyAlignment="1">
      <alignment horizontal="center" vertical="center"/>
    </xf>
    <xf numFmtId="0" fontId="53" fillId="14" borderId="10" xfId="0" applyFont="1" applyFill="1" applyBorder="1" applyAlignment="1">
      <alignment horizontal="center" vertical="center"/>
    </xf>
    <xf numFmtId="0" fontId="53" fillId="9" borderId="46" xfId="0" applyFont="1" applyFill="1" applyBorder="1" applyAlignment="1">
      <alignment horizontal="center" vertical="center"/>
    </xf>
    <xf numFmtId="0" fontId="53" fillId="10" borderId="45" xfId="0" applyFont="1" applyFill="1" applyBorder="1" applyAlignment="1">
      <alignment horizontal="center" vertical="center"/>
    </xf>
    <xf numFmtId="0" fontId="53" fillId="13" borderId="10" xfId="0" applyFont="1" applyFill="1" applyBorder="1" applyAlignment="1">
      <alignment horizontal="center" vertical="center"/>
    </xf>
    <xf numFmtId="0" fontId="53" fillId="11" borderId="10" xfId="0" applyFont="1" applyFill="1" applyBorder="1" applyAlignment="1">
      <alignment horizontal="center" vertical="center"/>
    </xf>
    <xf numFmtId="0" fontId="54" fillId="11" borderId="10" xfId="0" applyFont="1" applyFill="1" applyBorder="1" applyAlignment="1">
      <alignment horizontal="center" vertical="center"/>
    </xf>
    <xf numFmtId="0" fontId="54" fillId="0" borderId="0" xfId="0" applyFont="1"/>
    <xf numFmtId="0" fontId="15" fillId="11" borderId="10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vertical="center"/>
    </xf>
    <xf numFmtId="3" fontId="55" fillId="0" borderId="10" xfId="0" applyNumberFormat="1" applyFont="1" applyBorder="1" applyAlignment="1">
      <alignment horizontal="center" vertical="center"/>
    </xf>
    <xf numFmtId="3" fontId="55" fillId="0" borderId="15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/>
    </xf>
    <xf numFmtId="3" fontId="15" fillId="0" borderId="27" xfId="0" applyNumberFormat="1" applyFont="1" applyBorder="1" applyAlignment="1">
      <alignment horizontal="center" vertical="center"/>
    </xf>
    <xf numFmtId="0" fontId="2" fillId="3" borderId="0" xfId="0" applyFont="1" applyFill="1" applyAlignment="1" applyProtection="1">
      <alignment horizontal="center"/>
      <protection locked="0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0" fontId="53" fillId="0" borderId="27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3" fillId="0" borderId="0" xfId="0" applyFont="1" applyAlignment="1">
      <alignment wrapText="1"/>
    </xf>
    <xf numFmtId="0" fontId="53" fillId="0" borderId="15" xfId="0" applyFont="1" applyBorder="1" applyAlignment="1">
      <alignment horizontal="center" vertical="center"/>
    </xf>
    <xf numFmtId="0" fontId="56" fillId="0" borderId="27" xfId="0" applyFont="1" applyBorder="1"/>
    <xf numFmtId="3" fontId="56" fillId="0" borderId="27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57" fillId="0" borderId="0" xfId="0" applyFont="1"/>
    <xf numFmtId="0" fontId="31" fillId="0" borderId="27" xfId="0" applyFont="1" applyBorder="1"/>
    <xf numFmtId="0" fontId="0" fillId="0" borderId="0" xfId="0" applyAlignment="1">
      <alignment horizontal="right"/>
    </xf>
    <xf numFmtId="0" fontId="31" fillId="0" borderId="27" xfId="0" applyFont="1" applyBorder="1" applyAlignment="1">
      <alignment horizontal="center"/>
    </xf>
    <xf numFmtId="0" fontId="58" fillId="0" borderId="34" xfId="0" applyFont="1" applyBorder="1" applyAlignment="1">
      <alignment horizontal="center"/>
    </xf>
    <xf numFmtId="0" fontId="31" fillId="0" borderId="30" xfId="0" applyFont="1" applyBorder="1"/>
    <xf numFmtId="0" fontId="31" fillId="0" borderId="30" xfId="0" applyFont="1" applyBorder="1" applyAlignment="1">
      <alignment horizontal="right"/>
    </xf>
    <xf numFmtId="0" fontId="0" fillId="0" borderId="34" xfId="0" applyBorder="1" applyAlignment="1">
      <alignment horizontal="center"/>
    </xf>
    <xf numFmtId="0" fontId="58" fillId="0" borderId="80" xfId="0" applyFont="1" applyBorder="1" applyAlignment="1">
      <alignment horizontal="center"/>
    </xf>
    <xf numFmtId="0" fontId="59" fillId="2" borderId="41" xfId="0" applyFont="1" applyFill="1" applyBorder="1" applyAlignment="1" applyProtection="1">
      <alignment horizontal="center" vertical="center"/>
      <protection locked="0"/>
    </xf>
    <xf numFmtId="0" fontId="59" fillId="3" borderId="0" xfId="0" applyFont="1" applyFill="1"/>
    <xf numFmtId="0" fontId="59" fillId="2" borderId="37" xfId="0" applyFont="1" applyFill="1" applyBorder="1" applyAlignment="1" applyProtection="1">
      <alignment horizontal="center" vertical="center"/>
      <protection locked="0"/>
    </xf>
    <xf numFmtId="0" fontId="59" fillId="2" borderId="38" xfId="0" applyFont="1" applyFill="1" applyBorder="1" applyAlignment="1" applyProtection="1">
      <alignment horizontal="center" vertical="center"/>
      <protection locked="0"/>
    </xf>
    <xf numFmtId="0" fontId="59" fillId="2" borderId="39" xfId="0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>
      <alignment horizontal="center" vertical="center"/>
    </xf>
    <xf numFmtId="0" fontId="31" fillId="2" borderId="10" xfId="0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1" fontId="32" fillId="3" borderId="0" xfId="0" applyNumberFormat="1" applyFont="1" applyFill="1" applyAlignment="1">
      <alignment horizontal="right"/>
    </xf>
    <xf numFmtId="0" fontId="32" fillId="3" borderId="0" xfId="0" applyFont="1" applyFill="1"/>
    <xf numFmtId="0" fontId="0" fillId="0" borderId="55" xfId="0" applyBorder="1" applyAlignment="1">
      <alignment horizontal="center"/>
    </xf>
    <xf numFmtId="0" fontId="0" fillId="0" borderId="46" xfId="0" applyBorder="1"/>
    <xf numFmtId="0" fontId="62" fillId="0" borderId="34" xfId="0" applyFont="1" applyBorder="1" applyAlignment="1">
      <alignment horizontal="center" vertical="center" readingOrder="1"/>
    </xf>
    <xf numFmtId="44" fontId="60" fillId="0" borderId="34" xfId="1" applyFont="1" applyBorder="1" applyAlignment="1">
      <alignment horizontal="right" readingOrder="1"/>
    </xf>
    <xf numFmtId="44" fontId="60" fillId="0" borderId="38" xfId="1" applyFont="1" applyBorder="1" applyAlignment="1">
      <alignment horizontal="right" readingOrder="1"/>
    </xf>
    <xf numFmtId="0" fontId="61" fillId="0" borderId="34" xfId="0" applyFont="1" applyBorder="1" applyAlignment="1">
      <alignment horizontal="left" vertical="center" readingOrder="1"/>
    </xf>
    <xf numFmtId="0" fontId="60" fillId="0" borderId="34" xfId="0" applyFont="1" applyBorder="1" applyAlignment="1">
      <alignment horizontal="center" vertical="center" readingOrder="1"/>
    </xf>
    <xf numFmtId="0" fontId="60" fillId="0" borderId="34" xfId="0" applyFont="1" applyBorder="1" applyAlignment="1" applyProtection="1">
      <alignment horizontal="center" vertical="center" readingOrder="1"/>
      <protection locked="0"/>
    </xf>
    <xf numFmtId="49" fontId="61" fillId="0" borderId="82" xfId="0" applyNumberFormat="1" applyFont="1" applyBorder="1" applyAlignment="1">
      <alignment horizontal="left" vertical="center" readingOrder="1"/>
    </xf>
    <xf numFmtId="0" fontId="61" fillId="0" borderId="83" xfId="0" applyFont="1" applyBorder="1" applyAlignment="1">
      <alignment horizontal="left" vertical="center" readingOrder="1"/>
    </xf>
    <xf numFmtId="0" fontId="62" fillId="0" borderId="83" xfId="0" applyFont="1" applyBorder="1" applyAlignment="1">
      <alignment horizontal="center" vertical="center" readingOrder="1"/>
    </xf>
    <xf numFmtId="0" fontId="60" fillId="0" borderId="83" xfId="0" applyFont="1" applyBorder="1" applyAlignment="1">
      <alignment horizontal="center" vertical="center" readingOrder="1"/>
    </xf>
    <xf numFmtId="0" fontId="60" fillId="0" borderId="83" xfId="0" applyFont="1" applyBorder="1" applyAlignment="1" applyProtection="1">
      <alignment horizontal="center" vertical="center" readingOrder="1"/>
      <protection locked="0"/>
    </xf>
    <xf numFmtId="44" fontId="60" fillId="0" borderId="83" xfId="1" applyFont="1" applyBorder="1" applyAlignment="1">
      <alignment horizontal="right" readingOrder="1"/>
    </xf>
    <xf numFmtId="44" fontId="60" fillId="0" borderId="84" xfId="1" applyFont="1" applyBorder="1" applyAlignment="1">
      <alignment horizontal="right" readingOrder="1"/>
    </xf>
    <xf numFmtId="0" fontId="15" fillId="3" borderId="22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23" xfId="0" applyFont="1" applyFill="1" applyBorder="1" applyAlignment="1">
      <alignment horizontal="left" vertical="center" wrapText="1"/>
    </xf>
    <xf numFmtId="0" fontId="28" fillId="3" borderId="0" xfId="0" applyFont="1" applyFill="1" applyAlignment="1">
      <alignment horizontal="right" vertical="center"/>
    </xf>
    <xf numFmtId="0" fontId="63" fillId="4" borderId="27" xfId="0" applyFont="1" applyFill="1" applyBorder="1" applyAlignment="1">
      <alignment horizontal="center"/>
    </xf>
    <xf numFmtId="0" fontId="63" fillId="4" borderId="27" xfId="0" applyFont="1" applyFill="1" applyBorder="1"/>
    <xf numFmtId="0" fontId="64" fillId="4" borderId="27" xfId="0" applyFont="1" applyFill="1" applyBorder="1" applyAlignment="1">
      <alignment horizontal="center" wrapText="1"/>
    </xf>
    <xf numFmtId="0" fontId="63" fillId="4" borderId="27" xfId="0" applyFont="1" applyFill="1" applyBorder="1" applyAlignment="1">
      <alignment horizontal="center" wrapText="1"/>
    </xf>
    <xf numFmtId="0" fontId="63" fillId="4" borderId="27" xfId="0" applyFont="1" applyFill="1" applyBorder="1" applyAlignment="1">
      <alignment wrapText="1"/>
    </xf>
    <xf numFmtId="0" fontId="27" fillId="3" borderId="85" xfId="0" applyFont="1" applyFill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1" fontId="45" fillId="0" borderId="10" xfId="0" applyNumberFormat="1" applyFont="1" applyBorder="1" applyAlignment="1">
      <alignment horizontal="center"/>
    </xf>
    <xf numFmtId="0" fontId="15" fillId="3" borderId="0" xfId="0" applyFont="1" applyFill="1" applyAlignment="1">
      <alignment horizontal="right"/>
    </xf>
    <xf numFmtId="172" fontId="31" fillId="9" borderId="10" xfId="0" applyNumberFormat="1" applyFont="1" applyFill="1" applyBorder="1" applyAlignment="1">
      <alignment horizontal="center"/>
    </xf>
    <xf numFmtId="172" fontId="25" fillId="9" borderId="10" xfId="0" applyNumberFormat="1" applyFont="1" applyFill="1" applyBorder="1" applyAlignment="1">
      <alignment horizontal="center"/>
    </xf>
    <xf numFmtId="0" fontId="59" fillId="3" borderId="0" xfId="0" applyFont="1" applyFill="1" applyAlignment="1">
      <alignment horizontal="right"/>
    </xf>
    <xf numFmtId="172" fontId="59" fillId="9" borderId="10" xfId="0" applyNumberFormat="1" applyFont="1" applyFill="1" applyBorder="1" applyAlignment="1">
      <alignment horizontal="center"/>
    </xf>
    <xf numFmtId="172" fontId="25" fillId="9" borderId="11" xfId="0" applyNumberFormat="1" applyFont="1" applyFill="1" applyBorder="1" applyAlignment="1">
      <alignment horizontal="center"/>
    </xf>
    <xf numFmtId="0" fontId="59" fillId="0" borderId="41" xfId="0" applyFont="1" applyBorder="1" applyAlignment="1">
      <alignment horizontal="center" vertical="center"/>
    </xf>
    <xf numFmtId="0" fontId="66" fillId="0" borderId="0" xfId="0" applyFont="1"/>
    <xf numFmtId="0" fontId="15" fillId="3" borderId="0" xfId="0" applyFont="1" applyFill="1" applyAlignment="1">
      <alignment vertical="center" wrapText="1"/>
    </xf>
    <xf numFmtId="0" fontId="15" fillId="3" borderId="23" xfId="0" applyFont="1" applyFill="1" applyBorder="1" applyAlignment="1">
      <alignment vertical="center" wrapText="1"/>
    </xf>
    <xf numFmtId="0" fontId="15" fillId="0" borderId="0" xfId="0" applyFont="1" applyAlignment="1">
      <alignment wrapText="1"/>
    </xf>
    <xf numFmtId="0" fontId="15" fillId="0" borderId="23" xfId="0" applyFont="1" applyBorder="1" applyAlignment="1">
      <alignment wrapText="1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right" vertical="center"/>
    </xf>
    <xf numFmtId="0" fontId="0" fillId="4" borderId="11" xfId="0" applyFill="1" applyBorder="1"/>
    <xf numFmtId="0" fontId="9" fillId="4" borderId="10" xfId="0" applyFont="1" applyFill="1" applyBorder="1" applyAlignment="1">
      <alignment horizontal="left"/>
    </xf>
    <xf numFmtId="0" fontId="9" fillId="4" borderId="10" xfId="0" applyFont="1" applyFill="1" applyBorder="1"/>
    <xf numFmtId="0" fontId="0" fillId="4" borderId="12" xfId="0" applyFill="1" applyBorder="1"/>
    <xf numFmtId="0" fontId="0" fillId="4" borderId="10" xfId="0" applyFill="1" applyBorder="1"/>
    <xf numFmtId="0" fontId="0" fillId="4" borderId="14" xfId="0" applyFill="1" applyBorder="1"/>
    <xf numFmtId="0" fontId="11" fillId="17" borderId="10" xfId="2" applyFont="1" applyFill="1" applyBorder="1" applyAlignment="1">
      <alignment wrapText="1"/>
    </xf>
    <xf numFmtId="0" fontId="8" fillId="17" borderId="10" xfId="2" applyFill="1" applyBorder="1"/>
    <xf numFmtId="0" fontId="8" fillId="0" borderId="88" xfId="2" applyBorder="1"/>
    <xf numFmtId="0" fontId="8" fillId="0" borderId="89" xfId="2" applyBorder="1"/>
    <xf numFmtId="0" fontId="8" fillId="0" borderId="90" xfId="2" applyBorder="1"/>
    <xf numFmtId="0" fontId="0" fillId="4" borderId="29" xfId="0" applyFill="1" applyBorder="1"/>
    <xf numFmtId="0" fontId="0" fillId="4" borderId="0" xfId="0" applyFill="1"/>
    <xf numFmtId="0" fontId="0" fillId="4" borderId="10" xfId="0" applyFill="1" applyBorder="1" applyAlignment="1">
      <alignment wrapText="1"/>
    </xf>
    <xf numFmtId="172" fontId="25" fillId="2" borderId="10" xfId="0" applyNumberFormat="1" applyFont="1" applyFill="1" applyBorder="1" applyAlignment="1" applyProtection="1">
      <alignment horizontal="center" vertical="center"/>
      <protection locked="0"/>
    </xf>
    <xf numFmtId="0" fontId="0" fillId="4" borderId="13" xfId="0" applyFill="1" applyBorder="1"/>
    <xf numFmtId="0" fontId="13" fillId="4" borderId="10" xfId="0" quotePrefix="1" applyFont="1" applyFill="1" applyBorder="1"/>
    <xf numFmtId="0" fontId="31" fillId="3" borderId="0" xfId="0" applyFont="1" applyFill="1" applyAlignment="1">
      <alignment horizontal="right"/>
    </xf>
    <xf numFmtId="0" fontId="31" fillId="3" borderId="0" xfId="0" applyFont="1" applyFill="1" applyAlignment="1">
      <alignment horizontal="right" vertical="center"/>
    </xf>
    <xf numFmtId="0" fontId="68" fillId="3" borderId="0" xfId="0" applyFont="1" applyFill="1"/>
    <xf numFmtId="0" fontId="10" fillId="4" borderId="10" xfId="0" applyFont="1" applyFill="1" applyBorder="1"/>
    <xf numFmtId="0" fontId="12" fillId="3" borderId="0" xfId="0" applyFont="1" applyFill="1" applyAlignment="1">
      <alignment horizontal="center" vertical="center" wrapText="1"/>
    </xf>
    <xf numFmtId="167" fontId="31" fillId="3" borderId="0" xfId="0" applyNumberFormat="1" applyFont="1" applyFill="1"/>
    <xf numFmtId="173" fontId="31" fillId="3" borderId="0" xfId="0" applyNumberFormat="1" applyFont="1" applyFill="1"/>
    <xf numFmtId="168" fontId="31" fillId="3" borderId="8" xfId="0" applyNumberFormat="1" applyFont="1" applyFill="1" applyBorder="1"/>
    <xf numFmtId="0" fontId="0" fillId="3" borderId="0" xfId="0" applyFill="1" applyAlignment="1">
      <alignment vertical="center"/>
    </xf>
    <xf numFmtId="0" fontId="67" fillId="3" borderId="0" xfId="0" applyFont="1" applyFill="1" applyAlignment="1">
      <alignment horizontal="center" vertical="center"/>
    </xf>
    <xf numFmtId="0" fontId="69" fillId="0" borderId="80" xfId="0" applyFont="1" applyBorder="1" applyAlignment="1">
      <alignment horizontal="left" vertical="center" wrapText="1" readingOrder="1"/>
    </xf>
    <xf numFmtId="0" fontId="0" fillId="0" borderId="49" xfId="0" applyBorder="1"/>
    <xf numFmtId="0" fontId="9" fillId="0" borderId="13" xfId="0" applyFont="1" applyBorder="1"/>
    <xf numFmtId="0" fontId="9" fillId="4" borderId="13" xfId="0" applyFont="1" applyFill="1" applyBorder="1" applyAlignment="1">
      <alignment horizontal="left"/>
    </xf>
    <xf numFmtId="0" fontId="9" fillId="4" borderId="13" xfId="0" applyFont="1" applyFill="1" applyBorder="1"/>
    <xf numFmtId="171" fontId="59" fillId="2" borderId="91" xfId="0" applyNumberFormat="1" applyFont="1" applyFill="1" applyBorder="1" applyAlignment="1" applyProtection="1">
      <alignment horizontal="center" vertical="center"/>
      <protection locked="0"/>
    </xf>
    <xf numFmtId="0" fontId="59" fillId="3" borderId="92" xfId="0" applyFont="1" applyFill="1" applyBorder="1" applyAlignment="1">
      <alignment horizontal="center" vertical="center"/>
    </xf>
    <xf numFmtId="171" fontId="59" fillId="3" borderId="87" xfId="0" applyNumberFormat="1" applyFont="1" applyFill="1" applyBorder="1" applyAlignment="1">
      <alignment horizontal="center" vertical="center"/>
    </xf>
    <xf numFmtId="173" fontId="15" fillId="0" borderId="27" xfId="0" applyNumberFormat="1" applyFont="1" applyBorder="1" applyAlignment="1">
      <alignment horizontal="center" vertical="center"/>
    </xf>
    <xf numFmtId="0" fontId="66" fillId="3" borderId="0" xfId="0" applyFont="1" applyFill="1"/>
    <xf numFmtId="0" fontId="66" fillId="3" borderId="8" xfId="0" applyFont="1" applyFill="1" applyBorder="1"/>
    <xf numFmtId="167" fontId="66" fillId="3" borderId="0" xfId="0" applyNumberFormat="1" applyFont="1" applyFill="1"/>
    <xf numFmtId="175" fontId="15" fillId="3" borderId="0" xfId="0" applyNumberFormat="1" applyFont="1" applyFill="1" applyAlignment="1">
      <alignment horizontal="center"/>
    </xf>
    <xf numFmtId="176" fontId="15" fillId="3" borderId="0" xfId="0" applyNumberFormat="1" applyFont="1" applyFill="1" applyAlignment="1">
      <alignment horizontal="center" vertical="top"/>
    </xf>
    <xf numFmtId="0" fontId="0" fillId="3" borderId="0" xfId="0" applyFill="1" applyAlignment="1">
      <alignment horizontal="right" vertical="center"/>
    </xf>
    <xf numFmtId="0" fontId="69" fillId="0" borderId="95" xfId="0" applyFont="1" applyBorder="1" applyAlignment="1">
      <alignment horizontal="left" vertical="center" wrapText="1" readingOrder="1"/>
    </xf>
    <xf numFmtId="0" fontId="0" fillId="0" borderId="54" xfId="0" applyBorder="1"/>
    <xf numFmtId="0" fontId="71" fillId="0" borderId="0" xfId="0" applyFont="1" applyAlignment="1">
      <alignment horizontal="right" vertical="center"/>
    </xf>
    <xf numFmtId="0" fontId="73" fillId="0" borderId="0" xfId="0" applyFont="1"/>
    <xf numFmtId="0" fontId="74" fillId="0" borderId="0" xfId="0" applyFont="1"/>
    <xf numFmtId="0" fontId="74" fillId="0" borderId="0" xfId="0" applyFont="1" applyAlignment="1">
      <alignment horizontal="right"/>
    </xf>
    <xf numFmtId="0" fontId="73" fillId="0" borderId="0" xfId="0" applyFont="1" applyAlignment="1">
      <alignment horizontal="right"/>
    </xf>
    <xf numFmtId="2" fontId="74" fillId="0" borderId="0" xfId="0" applyNumberFormat="1" applyFont="1"/>
    <xf numFmtId="0" fontId="75" fillId="0" borderId="34" xfId="0" applyFont="1" applyBorder="1" applyAlignment="1">
      <alignment horizontal="center"/>
    </xf>
    <xf numFmtId="0" fontId="75" fillId="0" borderId="80" xfId="0" applyFont="1" applyBorder="1" applyAlignment="1">
      <alignment horizontal="center"/>
    </xf>
    <xf numFmtId="1" fontId="31" fillId="2" borderId="10" xfId="0" applyNumberFormat="1" applyFont="1" applyFill="1" applyBorder="1" applyAlignment="1" applyProtection="1">
      <alignment horizontal="center" vertical="center"/>
      <protection locked="0"/>
    </xf>
    <xf numFmtId="174" fontId="76" fillId="3" borderId="0" xfId="0" applyNumberFormat="1" applyFont="1" applyFill="1" applyAlignment="1">
      <alignment horizontal="right" vertical="center"/>
    </xf>
    <xf numFmtId="0" fontId="78" fillId="3" borderId="0" xfId="0" applyFont="1" applyFill="1" applyAlignment="1">
      <alignment horizontal="left"/>
    </xf>
    <xf numFmtId="0" fontId="79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27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vertical="center"/>
    </xf>
    <xf numFmtId="0" fontId="3" fillId="4" borderId="27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170" fontId="77" fillId="3" borderId="0" xfId="0" applyNumberFormat="1" applyFont="1" applyFill="1" applyAlignment="1">
      <alignment horizontal="left" vertical="center" wrapText="1"/>
    </xf>
    <xf numFmtId="0" fontId="26" fillId="3" borderId="38" xfId="0" applyFont="1" applyFill="1" applyBorder="1" applyAlignment="1" applyProtection="1">
      <alignment horizontal="center" vertical="center"/>
      <protection locked="0"/>
    </xf>
    <xf numFmtId="0" fontId="28" fillId="0" borderId="94" xfId="0" applyFont="1" applyBorder="1" applyAlignment="1">
      <alignment horizontal="center" vertical="center"/>
    </xf>
    <xf numFmtId="0" fontId="58" fillId="0" borderId="94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58" fillId="0" borderId="34" xfId="0" applyFont="1" applyBorder="1" applyAlignment="1">
      <alignment horizontal="center" vertical="center"/>
    </xf>
    <xf numFmtId="0" fontId="58" fillId="0" borderId="34" xfId="0" applyFont="1" applyBorder="1" applyAlignment="1">
      <alignment horizontal="center" vertical="center" wrapText="1"/>
    </xf>
    <xf numFmtId="0" fontId="58" fillId="3" borderId="34" xfId="0" applyFont="1" applyFill="1" applyBorder="1" applyAlignment="1">
      <alignment horizontal="center" vertical="center"/>
    </xf>
    <xf numFmtId="0" fontId="36" fillId="3" borderId="0" xfId="0" applyFont="1" applyFill="1"/>
    <xf numFmtId="0" fontId="80" fillId="3" borderId="0" xfId="0" applyFont="1" applyFill="1"/>
    <xf numFmtId="0" fontId="5" fillId="3" borderId="0" xfId="0" applyFont="1" applyFill="1" applyAlignment="1">
      <alignment horizontal="left"/>
    </xf>
    <xf numFmtId="0" fontId="25" fillId="3" borderId="0" xfId="0" applyFont="1" applyFill="1" applyAlignment="1">
      <alignment horizontal="left" vertical="center" wrapText="1"/>
    </xf>
    <xf numFmtId="0" fontId="58" fillId="0" borderId="36" xfId="0" applyFont="1" applyBorder="1" applyAlignment="1">
      <alignment vertical="center"/>
    </xf>
    <xf numFmtId="0" fontId="9" fillId="0" borderId="94" xfId="0" applyFont="1" applyBorder="1" applyAlignment="1" applyProtection="1">
      <alignment horizontal="left" vertical="center" wrapText="1" readingOrder="1"/>
      <protection locked="0"/>
    </xf>
    <xf numFmtId="0" fontId="58" fillId="0" borderId="94" xfId="0" applyFont="1" applyBorder="1" applyAlignment="1">
      <alignment vertical="center"/>
    </xf>
    <xf numFmtId="0" fontId="9" fillId="0" borderId="94" xfId="0" applyFont="1" applyBorder="1" applyAlignment="1">
      <alignment horizontal="center" vertical="center" wrapText="1" readingOrder="1"/>
    </xf>
    <xf numFmtId="0" fontId="58" fillId="0" borderId="33" xfId="0" applyFont="1" applyBorder="1" applyAlignment="1">
      <alignment vertical="center"/>
    </xf>
    <xf numFmtId="0" fontId="9" fillId="0" borderId="34" xfId="0" applyFont="1" applyBorder="1" applyAlignment="1" applyProtection="1">
      <alignment horizontal="left" vertical="center" wrapText="1" readingOrder="1"/>
      <protection locked="0"/>
    </xf>
    <xf numFmtId="0" fontId="58" fillId="0" borderId="34" xfId="0" applyFont="1" applyBorder="1" applyAlignment="1">
      <alignment vertical="center"/>
    </xf>
    <xf numFmtId="0" fontId="9" fillId="0" borderId="34" xfId="0" applyFont="1" applyBorder="1" applyAlignment="1">
      <alignment horizontal="center" vertical="center" wrapText="1" readingOrder="1"/>
    </xf>
    <xf numFmtId="49" fontId="9" fillId="0" borderId="33" xfId="0" applyNumberFormat="1" applyFont="1" applyBorder="1" applyAlignment="1">
      <alignment horizontal="left" vertical="center" wrapText="1" readingOrder="1"/>
    </xf>
    <xf numFmtId="0" fontId="9" fillId="0" borderId="81" xfId="0" applyFont="1" applyBorder="1" applyAlignment="1">
      <alignment horizontal="center" vertical="center" wrapText="1" readingOrder="1"/>
    </xf>
    <xf numFmtId="0" fontId="0" fillId="5" borderId="2" xfId="0" applyFill="1" applyBorder="1"/>
    <xf numFmtId="0" fontId="0" fillId="5" borderId="28" xfId="0" applyFill="1" applyBorder="1"/>
    <xf numFmtId="0" fontId="0" fillId="5" borderId="7" xfId="0" applyFill="1" applyBorder="1"/>
    <xf numFmtId="0" fontId="0" fillId="0" borderId="4" xfId="0" applyBorder="1"/>
    <xf numFmtId="0" fontId="0" fillId="0" borderId="8" xfId="0" applyBorder="1"/>
    <xf numFmtId="0" fontId="0" fillId="3" borderId="4" xfId="0" applyFill="1" applyBorder="1" applyAlignment="1">
      <alignment vertical="center" wrapText="1"/>
    </xf>
    <xf numFmtId="0" fontId="0" fillId="3" borderId="8" xfId="0" applyFill="1" applyBorder="1"/>
    <xf numFmtId="0" fontId="0" fillId="3" borderId="9" xfId="0" applyFill="1" applyBorder="1" applyAlignment="1">
      <alignment horizontal="center" textRotation="90" wrapText="1"/>
    </xf>
    <xf numFmtId="0" fontId="0" fillId="3" borderId="0" xfId="0" applyFill="1" applyAlignment="1">
      <alignment horizontal="center" textRotation="90" wrapText="1"/>
    </xf>
    <xf numFmtId="0" fontId="0" fillId="3" borderId="0" xfId="0" applyFill="1" applyAlignment="1" applyProtection="1">
      <alignment horizontal="center"/>
      <protection locked="0"/>
    </xf>
    <xf numFmtId="0" fontId="0" fillId="3" borderId="43" xfId="0" applyFill="1" applyBorder="1"/>
    <xf numFmtId="0" fontId="0" fillId="3" borderId="0" xfId="0" applyFill="1" applyProtection="1">
      <protection locked="0"/>
    </xf>
    <xf numFmtId="169" fontId="29" fillId="3" borderId="0" xfId="0" applyNumberFormat="1" applyFont="1" applyFill="1" applyAlignment="1">
      <alignment horizontal="left" vertical="center"/>
    </xf>
    <xf numFmtId="170" fontId="77" fillId="3" borderId="0" xfId="0" applyNumberFormat="1" applyFont="1" applyFill="1" applyBorder="1" applyAlignment="1">
      <alignment horizontal="left" vertical="center" wrapText="1"/>
    </xf>
    <xf numFmtId="0" fontId="59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83" fillId="0" borderId="55" xfId="0" applyFont="1" applyFill="1" applyBorder="1" applyAlignment="1">
      <alignment vertical="center" readingOrder="1"/>
    </xf>
    <xf numFmtId="0" fontId="84" fillId="3" borderId="0" xfId="0" applyFont="1" applyFill="1" applyAlignment="1">
      <alignment horizontal="left" vertical="center"/>
    </xf>
    <xf numFmtId="0" fontId="0" fillId="0" borderId="96" xfId="0" applyFill="1" applyBorder="1" applyAlignment="1">
      <alignment horizontal="center"/>
    </xf>
    <xf numFmtId="0" fontId="9" fillId="0" borderId="80" xfId="0" applyFont="1" applyBorder="1" applyAlignment="1">
      <alignment horizontal="center" vertical="center" wrapText="1" readingOrder="1"/>
    </xf>
    <xf numFmtId="0" fontId="0" fillId="0" borderId="55" xfId="0" applyBorder="1"/>
    <xf numFmtId="0" fontId="0" fillId="0" borderId="0" xfId="0" applyFill="1" applyBorder="1"/>
    <xf numFmtId="0" fontId="58" fillId="0" borderId="34" xfId="0" applyFont="1" applyBorder="1" applyAlignment="1">
      <alignment vertical="center" wrapText="1"/>
    </xf>
    <xf numFmtId="0" fontId="45" fillId="0" borderId="34" xfId="0" applyFont="1" applyBorder="1" applyAlignment="1">
      <alignment vertical="center" wrapText="1"/>
    </xf>
    <xf numFmtId="0" fontId="76" fillId="3" borderId="0" xfId="0" applyFont="1" applyFill="1" applyAlignment="1">
      <alignment horizontal="left" vertical="center"/>
    </xf>
    <xf numFmtId="0" fontId="85" fillId="0" borderId="0" xfId="4"/>
    <xf numFmtId="0" fontId="0" fillId="18" borderId="10" xfId="0" applyFont="1" applyFill="1" applyBorder="1"/>
    <xf numFmtId="0" fontId="85" fillId="18" borderId="10" xfId="4" applyFill="1" applyBorder="1"/>
    <xf numFmtId="0" fontId="0" fillId="17" borderId="10" xfId="0" applyFont="1" applyFill="1" applyBorder="1"/>
    <xf numFmtId="0" fontId="0" fillId="0" borderId="56" xfId="0" applyBorder="1" applyAlignment="1">
      <alignment vertical="center" wrapText="1" readingOrder="1"/>
    </xf>
    <xf numFmtId="0" fontId="27" fillId="3" borderId="97" xfId="0" applyFont="1" applyFill="1" applyBorder="1" applyAlignment="1">
      <alignment horizontal="left" vertical="center"/>
    </xf>
    <xf numFmtId="0" fontId="9" fillId="2" borderId="94" xfId="0" applyFont="1" applyFill="1" applyBorder="1" applyAlignment="1" applyProtection="1">
      <alignment horizontal="center" vertical="center" wrapText="1" readingOrder="1"/>
      <protection locked="0"/>
    </xf>
    <xf numFmtId="0" fontId="9" fillId="2" borderId="34" xfId="0" applyFont="1" applyFill="1" applyBorder="1" applyAlignment="1" applyProtection="1">
      <alignment horizontal="center" vertical="center" wrapText="1" readingOrder="1"/>
      <protection locked="0"/>
    </xf>
    <xf numFmtId="0" fontId="9" fillId="2" borderId="80" xfId="0" applyFont="1" applyFill="1" applyBorder="1" applyAlignment="1" applyProtection="1">
      <alignment horizontal="center" vertical="center" wrapText="1" readingOrder="1"/>
      <protection locked="0"/>
    </xf>
    <xf numFmtId="0" fontId="9" fillId="2" borderId="81" xfId="0" applyFont="1" applyFill="1" applyBorder="1" applyAlignment="1" applyProtection="1">
      <alignment horizontal="center" vertical="center" wrapText="1" readingOrder="1"/>
      <protection locked="0"/>
    </xf>
    <xf numFmtId="0" fontId="15" fillId="3" borderId="22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0" borderId="22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22" xfId="0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0" fontId="18" fillId="0" borderId="2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23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19" fillId="0" borderId="23" xfId="0" applyFont="1" applyBorder="1" applyAlignment="1">
      <alignment horizontal="center"/>
    </xf>
    <xf numFmtId="0" fontId="15" fillId="3" borderId="23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 applyProtection="1">
      <alignment horizontal="center"/>
      <protection locked="0"/>
    </xf>
    <xf numFmtId="0" fontId="20" fillId="2" borderId="32" xfId="0" applyFont="1" applyFill="1" applyBorder="1" applyAlignment="1" applyProtection="1">
      <alignment horizontal="center"/>
      <protection locked="0"/>
    </xf>
    <xf numFmtId="0" fontId="25" fillId="3" borderId="0" xfId="0" applyFont="1" applyFill="1" applyAlignment="1">
      <alignment horizontal="center" vertical="center" wrapText="1"/>
    </xf>
    <xf numFmtId="177" fontId="15" fillId="3" borderId="0" xfId="0" applyNumberFormat="1" applyFont="1" applyFill="1" applyAlignment="1">
      <alignment horizontal="center"/>
    </xf>
    <xf numFmtId="177" fontId="15" fillId="3" borderId="8" xfId="0" applyNumberFormat="1" applyFont="1" applyFill="1" applyBorder="1" applyAlignment="1">
      <alignment horizontal="center"/>
    </xf>
    <xf numFmtId="0" fontId="65" fillId="4" borderId="30" xfId="0" applyFont="1" applyFill="1" applyBorder="1" applyAlignment="1">
      <alignment horizontal="center" vertical="center"/>
    </xf>
    <xf numFmtId="0" fontId="65" fillId="4" borderId="31" xfId="0" applyFont="1" applyFill="1" applyBorder="1" applyAlignment="1">
      <alignment horizontal="center" vertical="center"/>
    </xf>
    <xf numFmtId="0" fontId="65" fillId="4" borderId="32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left" vertical="top" wrapText="1"/>
    </xf>
    <xf numFmtId="0" fontId="25" fillId="3" borderId="4" xfId="0" applyFont="1" applyFill="1" applyBorder="1" applyAlignment="1">
      <alignment horizontal="right" vertical="top" wrapText="1"/>
    </xf>
    <xf numFmtId="0" fontId="25" fillId="3" borderId="4" xfId="0" applyFont="1" applyFill="1" applyBorder="1" applyAlignment="1">
      <alignment horizontal="center" vertical="top" wrapText="1"/>
    </xf>
    <xf numFmtId="0" fontId="25" fillId="3" borderId="0" xfId="0" applyFont="1" applyFill="1" applyAlignment="1">
      <alignment horizontal="center" vertical="top" wrapText="1"/>
    </xf>
    <xf numFmtId="0" fontId="25" fillId="3" borderId="0" xfId="0" applyFont="1" applyFill="1" applyAlignment="1">
      <alignment horizontal="left" vertical="center" wrapText="1"/>
    </xf>
    <xf numFmtId="168" fontId="31" fillId="3" borderId="0" xfId="0" applyNumberFormat="1" applyFont="1" applyFill="1" applyAlignment="1">
      <alignment horizontal="center"/>
    </xf>
    <xf numFmtId="0" fontId="70" fillId="3" borderId="0" xfId="0" applyFont="1" applyFill="1" applyAlignment="1">
      <alignment horizontal="left"/>
    </xf>
    <xf numFmtId="0" fontId="70" fillId="3" borderId="8" xfId="0" applyFont="1" applyFill="1" applyBorder="1" applyAlignment="1">
      <alignment horizontal="left"/>
    </xf>
    <xf numFmtId="0" fontId="59" fillId="2" borderId="86" xfId="0" applyFont="1" applyFill="1" applyBorder="1" applyAlignment="1" applyProtection="1">
      <alignment horizontal="center" vertical="center"/>
      <protection locked="0"/>
    </xf>
    <xf numFmtId="0" fontId="59" fillId="2" borderId="87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left"/>
    </xf>
    <xf numFmtId="0" fontId="7" fillId="5" borderId="4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27" fillId="3" borderId="85" xfId="0" applyFont="1" applyFill="1" applyBorder="1" applyAlignment="1">
      <alignment horizontal="left" vertical="center" wrapText="1"/>
    </xf>
    <xf numFmtId="0" fontId="27" fillId="3" borderId="91" xfId="0" applyFont="1" applyFill="1" applyBorder="1" applyAlignment="1">
      <alignment horizontal="left" vertical="center" wrapText="1"/>
    </xf>
    <xf numFmtId="0" fontId="27" fillId="3" borderId="93" xfId="0" applyFont="1" applyFill="1" applyBorder="1" applyAlignment="1">
      <alignment horizontal="left" vertical="center"/>
    </xf>
    <xf numFmtId="0" fontId="27" fillId="3" borderId="92" xfId="0" applyFont="1" applyFill="1" applyBorder="1" applyAlignment="1">
      <alignment horizontal="left" vertical="center"/>
    </xf>
    <xf numFmtId="0" fontId="27" fillId="3" borderId="86" xfId="0" applyFont="1" applyFill="1" applyBorder="1" applyAlignment="1">
      <alignment horizontal="left" vertical="center"/>
    </xf>
    <xf numFmtId="0" fontId="27" fillId="3" borderId="87" xfId="0" applyFont="1" applyFill="1" applyBorder="1" applyAlignment="1">
      <alignment horizontal="left" vertical="center"/>
    </xf>
    <xf numFmtId="167" fontId="59" fillId="3" borderId="0" xfId="0" applyNumberFormat="1" applyFont="1" applyFill="1" applyAlignment="1">
      <alignment horizontal="center" vertical="top"/>
    </xf>
    <xf numFmtId="167" fontId="59" fillId="3" borderId="8" xfId="0" applyNumberFormat="1" applyFont="1" applyFill="1" applyBorder="1" applyAlignment="1">
      <alignment horizontal="center" vertical="top"/>
    </xf>
    <xf numFmtId="0" fontId="9" fillId="3" borderId="4" xfId="0" applyFont="1" applyFill="1" applyBorder="1" applyAlignment="1" applyProtection="1">
      <alignment horizontal="left" vertical="top"/>
    </xf>
    <xf numFmtId="0" fontId="9" fillId="3" borderId="8" xfId="0" applyFont="1" applyFill="1" applyBorder="1" applyAlignment="1" applyProtection="1">
      <alignment horizontal="left" vertical="top"/>
    </xf>
    <xf numFmtId="0" fontId="3" fillId="4" borderId="5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12" fillId="3" borderId="16" xfId="0" applyFont="1" applyFill="1" applyBorder="1" applyAlignment="1">
      <alignment vertical="center" wrapText="1"/>
    </xf>
    <xf numFmtId="0" fontId="12" fillId="3" borderId="25" xfId="0" applyFont="1" applyFill="1" applyBorder="1" applyAlignment="1">
      <alignment vertical="center" wrapText="1"/>
    </xf>
    <xf numFmtId="0" fontId="12" fillId="3" borderId="17" xfId="0" applyFont="1" applyFill="1" applyBorder="1" applyAlignment="1">
      <alignment vertical="center" wrapText="1"/>
    </xf>
    <xf numFmtId="0" fontId="7" fillId="5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58" fillId="3" borderId="15" xfId="0" applyFont="1" applyFill="1" applyBorder="1" applyAlignment="1">
      <alignment horizontal="left" textRotation="90" wrapText="1"/>
    </xf>
    <xf numFmtId="0" fontId="58" fillId="3" borderId="55" xfId="0" applyFont="1" applyFill="1" applyBorder="1" applyAlignment="1">
      <alignment horizontal="left" textRotation="90" wrapText="1"/>
    </xf>
    <xf numFmtId="0" fontId="58" fillId="3" borderId="45" xfId="0" applyFont="1" applyFill="1" applyBorder="1" applyAlignment="1">
      <alignment horizontal="left" textRotation="90" wrapText="1"/>
    </xf>
    <xf numFmtId="0" fontId="58" fillId="3" borderId="15" xfId="0" applyFont="1" applyFill="1" applyBorder="1" applyAlignment="1">
      <alignment horizontal="center" textRotation="90" wrapText="1"/>
    </xf>
    <xf numFmtId="0" fontId="58" fillId="3" borderId="55" xfId="0" applyFont="1" applyFill="1" applyBorder="1" applyAlignment="1">
      <alignment horizontal="center" textRotation="90" wrapText="1"/>
    </xf>
    <xf numFmtId="0" fontId="58" fillId="3" borderId="45" xfId="0" applyFont="1" applyFill="1" applyBorder="1" applyAlignment="1">
      <alignment horizontal="center" textRotation="90" wrapText="1"/>
    </xf>
    <xf numFmtId="0" fontId="0" fillId="0" borderId="30" xfId="0" quotePrefix="1" applyBorder="1" applyAlignment="1">
      <alignment horizontal="center"/>
    </xf>
    <xf numFmtId="0" fontId="36" fillId="0" borderId="2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54" xfId="0" quotePrefix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7" xfId="0" quotePrefix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9" xfId="0" quotePrefix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8" xfId="0" quotePrefix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quotePrefix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10" xfId="0" quotePrefix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29" xfId="0" quotePrefix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6" xfId="0" quotePrefix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70" xfId="0" quotePrefix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1" fontId="25" fillId="0" borderId="15" xfId="0" applyNumberFormat="1" applyFont="1" applyBorder="1" applyAlignment="1">
      <alignment horizontal="center" vertical="top" wrapText="1"/>
    </xf>
    <xf numFmtId="1" fontId="25" fillId="0" borderId="45" xfId="0" applyNumberFormat="1" applyFont="1" applyBorder="1" applyAlignment="1">
      <alignment horizontal="center" vertical="top" wrapText="1"/>
    </xf>
    <xf numFmtId="1" fontId="43" fillId="0" borderId="10" xfId="0" applyNumberFormat="1" applyFont="1" applyBorder="1" applyAlignment="1">
      <alignment horizontal="center" vertical="center"/>
    </xf>
    <xf numFmtId="1" fontId="25" fillId="0" borderId="10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25" fillId="0" borderId="11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/>
    </xf>
    <xf numFmtId="0" fontId="25" fillId="0" borderId="47" xfId="0" applyFont="1" applyBorder="1" applyAlignment="1">
      <alignment horizontal="center"/>
    </xf>
    <xf numFmtId="0" fontId="25" fillId="0" borderId="15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54" xfId="0" applyBorder="1" applyAlignment="1">
      <alignment horizontal="center"/>
    </xf>
    <xf numFmtId="0" fontId="40" fillId="0" borderId="11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0" fontId="36" fillId="0" borderId="29" xfId="0" applyFont="1" applyBorder="1" applyAlignment="1">
      <alignment horizontal="center" vertical="center"/>
    </xf>
    <xf numFmtId="0" fontId="36" fillId="0" borderId="48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49" xfId="0" applyBorder="1" applyAlignment="1">
      <alignment horizontal="center"/>
    </xf>
    <xf numFmtId="1" fontId="42" fillId="0" borderId="10" xfId="0" applyNumberFormat="1" applyFont="1" applyBorder="1" applyAlignment="1">
      <alignment horizontal="center" vertical="top"/>
    </xf>
    <xf numFmtId="1" fontId="36" fillId="0" borderId="10" xfId="0" applyNumberFormat="1" applyFont="1" applyBorder="1" applyAlignment="1">
      <alignment horizontal="center" vertical="center"/>
    </xf>
    <xf numFmtId="166" fontId="42" fillId="0" borderId="10" xfId="0" applyNumberFormat="1" applyFont="1" applyBorder="1" applyAlignment="1">
      <alignment horizontal="center" vertical="top"/>
    </xf>
    <xf numFmtId="0" fontId="39" fillId="0" borderId="2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1" fontId="25" fillId="0" borderId="15" xfId="0" applyNumberFormat="1" applyFont="1" applyBorder="1" applyAlignment="1">
      <alignment horizontal="center" vertical="center"/>
    </xf>
    <xf numFmtId="1" fontId="25" fillId="0" borderId="45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48" xfId="0" applyFont="1" applyBorder="1" applyAlignment="1">
      <alignment horizontal="center" vertical="center" wrapText="1"/>
    </xf>
    <xf numFmtId="0" fontId="37" fillId="0" borderId="49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0" fillId="16" borderId="11" xfId="0" applyFill="1" applyBorder="1" applyAlignment="1">
      <alignment horizontal="center"/>
    </xf>
    <xf numFmtId="0" fontId="0" fillId="16" borderId="54" xfId="0" applyFill="1" applyBorder="1" applyAlignment="1">
      <alignment horizontal="center"/>
    </xf>
    <xf numFmtId="0" fontId="0" fillId="16" borderId="13" xfId="0" applyFill="1" applyBorder="1" applyAlignment="1">
      <alignment horizontal="center"/>
    </xf>
    <xf numFmtId="0" fontId="9" fillId="0" borderId="37" xfId="0" applyFont="1" applyBorder="1" applyAlignment="1">
      <alignment horizontal="center" vertical="center" wrapText="1" readingOrder="1"/>
    </xf>
    <xf numFmtId="0" fontId="9" fillId="0" borderId="38" xfId="0" applyFont="1" applyBorder="1" applyAlignment="1">
      <alignment horizontal="center" vertical="center" wrapText="1" readingOrder="1"/>
    </xf>
    <xf numFmtId="49" fontId="9" fillId="0" borderId="35" xfId="0" applyNumberFormat="1" applyFont="1" applyBorder="1" applyAlignment="1">
      <alignment horizontal="left" vertical="center" wrapText="1" readingOrder="1"/>
    </xf>
    <xf numFmtId="0" fontId="9" fillId="0" borderId="81" xfId="0" applyFont="1" applyBorder="1" applyAlignment="1" applyProtection="1">
      <alignment horizontal="left" vertical="center" wrapText="1" readingOrder="1"/>
      <protection locked="0"/>
    </xf>
    <xf numFmtId="0" fontId="45" fillId="0" borderId="81" xfId="0" applyFont="1" applyBorder="1" applyAlignment="1">
      <alignment vertical="center" wrapText="1"/>
    </xf>
    <xf numFmtId="0" fontId="9" fillId="0" borderId="81" xfId="0" applyFont="1" applyBorder="1" applyAlignment="1" applyProtection="1">
      <alignment horizontal="left" vertical="center" wrapText="1" readingOrder="1"/>
    </xf>
    <xf numFmtId="0" fontId="9" fillId="0" borderId="39" xfId="0" applyFont="1" applyBorder="1" applyAlignment="1">
      <alignment horizontal="center" vertical="center" wrapText="1" readingOrder="1"/>
    </xf>
  </cellXfs>
  <cellStyles count="5">
    <cellStyle name="Lien hypertexte" xfId="4" builtinId="8"/>
    <cellStyle name="Milliers" xfId="3" builtinId="3"/>
    <cellStyle name="Monétaire" xfId="1" builtinId="4"/>
    <cellStyle name="Normal" xfId="0" builtinId="0"/>
    <cellStyle name="Normal 5" xfId="2" xr:uid="{00000000-0005-0000-0000-000004000000}"/>
  </cellStyles>
  <dxfs count="42"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>
          <bgColor theme="0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>
          <bgColor theme="0" tint="-0.499984740745262"/>
        </patternFill>
      </fill>
    </dxf>
    <dxf>
      <fill>
        <patternFill patternType="darkGray">
          <bgColor theme="0" tint="-0.499984740745262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>
          <bgColor theme="0" tint="-0.499984740745262"/>
        </patternFill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  <dxf>
      <font>
        <b/>
        <i val="0"/>
        <color rgb="FFFF0000"/>
      </font>
    </dxf>
    <dxf>
      <fill>
        <patternFill patternType="darkGray"/>
      </fill>
    </dxf>
    <dxf>
      <fill>
        <patternFill patternType="darkGray"/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ill>
        <patternFill patternType="darkGray"/>
      </fill>
    </dxf>
    <dxf>
      <fill>
        <patternFill patternType="darkGray"/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ill>
        <patternFill patternType="darkGray"/>
      </fill>
    </dxf>
    <dxf>
      <fill>
        <patternFill patternType="darkGray">
          <bgColor auto="1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706F6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Traduction!$B$1" fmlaRange="Traduction!$B$3:$B$6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5.jpeg"/><Relationship Id="rId6" Type="http://schemas.openxmlformats.org/officeDocument/2006/relationships/image" Target="../media/image10.emf"/><Relationship Id="rId11" Type="http://schemas.openxmlformats.org/officeDocument/2006/relationships/image" Target="../media/image15.png"/><Relationship Id="rId5" Type="http://schemas.openxmlformats.org/officeDocument/2006/relationships/image" Target="../media/image9.emf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emf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13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15.png"/><Relationship Id="rId10" Type="http://schemas.openxmlformats.org/officeDocument/2006/relationships/image" Target="../media/image33.png"/><Relationship Id="rId4" Type="http://schemas.openxmlformats.org/officeDocument/2006/relationships/image" Target="../media/image14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26" Type="http://schemas.openxmlformats.org/officeDocument/2006/relationships/image" Target="../media/image62.png"/><Relationship Id="rId3" Type="http://schemas.openxmlformats.org/officeDocument/2006/relationships/image" Target="../media/image39.png"/><Relationship Id="rId21" Type="http://schemas.openxmlformats.org/officeDocument/2006/relationships/image" Target="../media/image57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5" Type="http://schemas.openxmlformats.org/officeDocument/2006/relationships/image" Target="../media/image61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20" Type="http://schemas.openxmlformats.org/officeDocument/2006/relationships/image" Target="../media/image56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24" Type="http://schemas.openxmlformats.org/officeDocument/2006/relationships/image" Target="../media/image60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23" Type="http://schemas.openxmlformats.org/officeDocument/2006/relationships/image" Target="../media/image59.png"/><Relationship Id="rId28" Type="http://schemas.openxmlformats.org/officeDocument/2006/relationships/image" Target="../media/image64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58.png"/><Relationship Id="rId27" Type="http://schemas.openxmlformats.org/officeDocument/2006/relationships/image" Target="../media/image6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19050</xdr:rowOff>
    </xdr:from>
    <xdr:to>
      <xdr:col>2</xdr:col>
      <xdr:colOff>704850</xdr:colOff>
      <xdr:row>7</xdr:row>
      <xdr:rowOff>85725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19150"/>
          <a:ext cx="1438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40822</xdr:colOff>
      <xdr:row>18</xdr:row>
      <xdr:rowOff>54429</xdr:rowOff>
    </xdr:from>
    <xdr:to>
      <xdr:col>6</xdr:col>
      <xdr:colOff>299357</xdr:colOff>
      <xdr:row>21</xdr:row>
      <xdr:rowOff>149679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877786" y="5048250"/>
          <a:ext cx="2258785" cy="952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70501</xdr:colOff>
      <xdr:row>44</xdr:row>
      <xdr:rowOff>79684</xdr:rowOff>
    </xdr:from>
    <xdr:to>
      <xdr:col>16</xdr:col>
      <xdr:colOff>530680</xdr:colOff>
      <xdr:row>57</xdr:row>
      <xdr:rowOff>95249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7715" y="13496327"/>
          <a:ext cx="9277608" cy="3580637"/>
        </a:xfrm>
        <a:prstGeom prst="rect">
          <a:avLst/>
        </a:prstGeom>
      </xdr:spPr>
    </xdr:pic>
    <xdr:clientData/>
  </xdr:twoCellAnchor>
  <xdr:twoCellAnchor>
    <xdr:from>
      <xdr:col>5</xdr:col>
      <xdr:colOff>95251</xdr:colOff>
      <xdr:row>51</xdr:row>
      <xdr:rowOff>244929</xdr:rowOff>
    </xdr:from>
    <xdr:to>
      <xdr:col>5</xdr:col>
      <xdr:colOff>734785</xdr:colOff>
      <xdr:row>53</xdr:row>
      <xdr:rowOff>27215</xdr:rowOff>
    </xdr:to>
    <xdr:sp macro="" textlink="">
      <xdr:nvSpPr>
        <xdr:cNvPr id="11" name="Flèche droi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116037" y="16668750"/>
          <a:ext cx="639534" cy="3265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108857</xdr:colOff>
      <xdr:row>27</xdr:row>
      <xdr:rowOff>176892</xdr:rowOff>
    </xdr:from>
    <xdr:to>
      <xdr:col>16</xdr:col>
      <xdr:colOff>734787</xdr:colOff>
      <xdr:row>39</xdr:row>
      <xdr:rowOff>228569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3786" y="8137071"/>
          <a:ext cx="13035644" cy="3317391"/>
        </a:xfrm>
        <a:prstGeom prst="rect">
          <a:avLst/>
        </a:prstGeom>
      </xdr:spPr>
    </xdr:pic>
    <xdr:clientData/>
  </xdr:twoCellAnchor>
  <xdr:twoCellAnchor>
    <xdr:from>
      <xdr:col>15</xdr:col>
      <xdr:colOff>136071</xdr:colOff>
      <xdr:row>26</xdr:row>
      <xdr:rowOff>462643</xdr:rowOff>
    </xdr:from>
    <xdr:to>
      <xdr:col>15</xdr:col>
      <xdr:colOff>489857</xdr:colOff>
      <xdr:row>27</xdr:row>
      <xdr:rowOff>231321</xdr:rowOff>
    </xdr:to>
    <xdr:sp macro="" textlink="">
      <xdr:nvSpPr>
        <xdr:cNvPr id="4" name="Flèche vers le ba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028714" y="7824107"/>
          <a:ext cx="353786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0</xdr:colOff>
      <xdr:row>40</xdr:row>
      <xdr:rowOff>95250</xdr:rowOff>
    </xdr:from>
    <xdr:to>
      <xdr:col>16</xdr:col>
      <xdr:colOff>340178</xdr:colOff>
      <xdr:row>41</xdr:row>
      <xdr:rowOff>190500</xdr:rowOff>
    </xdr:to>
    <xdr:sp macro="" textlink="">
      <xdr:nvSpPr>
        <xdr:cNvPr id="7" name="Flèche vers le ha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654643" y="11593286"/>
          <a:ext cx="340178" cy="36739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4</xdr:col>
      <xdr:colOff>705971</xdr:colOff>
      <xdr:row>11</xdr:row>
      <xdr:rowOff>145676</xdr:rowOff>
    </xdr:from>
    <xdr:to>
      <xdr:col>11</xdr:col>
      <xdr:colOff>205567</xdr:colOff>
      <xdr:row>26</xdr:row>
      <xdr:rowOff>112059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5795" y="3204882"/>
          <a:ext cx="6200713" cy="432547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591017</xdr:colOff>
      <xdr:row>13</xdr:row>
      <xdr:rowOff>79330</xdr:rowOff>
    </xdr:to>
    <xdr:sp macro="" textlink="">
      <xdr:nvSpPr>
        <xdr:cNvPr id="17" name="Flèche droit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flipH="1">
          <a:off x="8650941" y="3339353"/>
          <a:ext cx="591017" cy="303448"/>
        </a:xfrm>
        <a:prstGeom prst="rightArrow">
          <a:avLst/>
        </a:prstGeom>
        <a:solidFill>
          <a:schemeClr val="accent1"/>
        </a:solidFill>
        <a:ln>
          <a:solidFill>
            <a:schemeClr val="accent1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728383</xdr:colOff>
      <xdr:row>43</xdr:row>
      <xdr:rowOff>246529</xdr:rowOff>
    </xdr:from>
    <xdr:to>
      <xdr:col>16</xdr:col>
      <xdr:colOff>638735</xdr:colOff>
      <xdr:row>57</xdr:row>
      <xdr:rowOff>112059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F742C9B0-C3AA-4642-82EE-CE82ED501686}"/>
            </a:ext>
          </a:extLst>
        </xdr:cNvPr>
        <xdr:cNvSpPr/>
      </xdr:nvSpPr>
      <xdr:spPr>
        <a:xfrm>
          <a:off x="10970559" y="12573000"/>
          <a:ext cx="2263588" cy="365311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147638</xdr:colOff>
      <xdr:row>0</xdr:row>
      <xdr:rowOff>28574</xdr:rowOff>
    </xdr:from>
    <xdr:to>
      <xdr:col>0</xdr:col>
      <xdr:colOff>848406</xdr:colOff>
      <xdr:row>0</xdr:row>
      <xdr:rowOff>733424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28574"/>
          <a:ext cx="700768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3966766</xdr:colOff>
      <xdr:row>48</xdr:row>
      <xdr:rowOff>251669</xdr:rowOff>
    </xdr:from>
    <xdr:to>
      <xdr:col>7</xdr:col>
      <xdr:colOff>1245083</xdr:colOff>
      <xdr:row>58</xdr:row>
      <xdr:rowOff>431876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6247" y="19462481"/>
          <a:ext cx="4675655" cy="450975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329846</xdr:colOff>
      <xdr:row>48</xdr:row>
      <xdr:rowOff>243263</xdr:rowOff>
    </xdr:from>
    <xdr:to>
      <xdr:col>5</xdr:col>
      <xdr:colOff>3551592</xdr:colOff>
      <xdr:row>58</xdr:row>
      <xdr:rowOff>427014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1340" y="19454075"/>
          <a:ext cx="4093840" cy="4513296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43429</xdr:colOff>
          <xdr:row>9</xdr:row>
          <xdr:rowOff>404224</xdr:rowOff>
        </xdr:from>
        <xdr:to>
          <xdr:col>11</xdr:col>
          <xdr:colOff>859436</xdr:colOff>
          <xdr:row>15</xdr:row>
          <xdr:rowOff>100853</xdr:rowOff>
        </xdr:to>
        <xdr:pic>
          <xdr:nvPicPr>
            <xdr:cNvPr id="38" name="Image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532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6168694" y="3788400"/>
              <a:ext cx="4502742" cy="231880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15563</xdr:colOff>
          <xdr:row>18</xdr:row>
          <xdr:rowOff>140941</xdr:rowOff>
        </xdr:from>
        <xdr:to>
          <xdr:col>11</xdr:col>
          <xdr:colOff>768194</xdr:colOff>
          <xdr:row>23</xdr:row>
          <xdr:rowOff>235323</xdr:rowOff>
        </xdr:to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ignes" spid="_x0000_s5532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140828" y="7458382"/>
              <a:ext cx="4439366" cy="227952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7</xdr:col>
      <xdr:colOff>291353</xdr:colOff>
      <xdr:row>9</xdr:row>
      <xdr:rowOff>125133</xdr:rowOff>
    </xdr:from>
    <xdr:to>
      <xdr:col>7</xdr:col>
      <xdr:colOff>930089</xdr:colOff>
      <xdr:row>9</xdr:row>
      <xdr:rowOff>338045</xdr:rowOff>
    </xdr:to>
    <xdr:sp macro="" textlink="">
      <xdr:nvSpPr>
        <xdr:cNvPr id="13" name="Flèche droit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382686" y="2897966"/>
          <a:ext cx="638736" cy="21291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305920</xdr:colOff>
      <xdr:row>22</xdr:row>
      <xdr:rowOff>108698</xdr:rowOff>
    </xdr:from>
    <xdr:to>
      <xdr:col>7</xdr:col>
      <xdr:colOff>944656</xdr:colOff>
      <xdr:row>22</xdr:row>
      <xdr:rowOff>321610</xdr:rowOff>
    </xdr:to>
    <xdr:sp macro="" textlink="">
      <xdr:nvSpPr>
        <xdr:cNvPr id="14" name="Flèche droit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402545" y="8585948"/>
          <a:ext cx="638736" cy="21291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291353</xdr:colOff>
      <xdr:row>27</xdr:row>
      <xdr:rowOff>156883</xdr:rowOff>
    </xdr:from>
    <xdr:to>
      <xdr:col>7</xdr:col>
      <xdr:colOff>930089</xdr:colOff>
      <xdr:row>27</xdr:row>
      <xdr:rowOff>369795</xdr:rowOff>
    </xdr:to>
    <xdr:sp macro="" textlink="">
      <xdr:nvSpPr>
        <xdr:cNvPr id="15" name="Flèche droit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385177" y="3092824"/>
          <a:ext cx="638736" cy="212912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14941</xdr:colOff>
          <xdr:row>24</xdr:row>
          <xdr:rowOff>373529</xdr:rowOff>
        </xdr:from>
        <xdr:to>
          <xdr:col>11</xdr:col>
          <xdr:colOff>768113</xdr:colOff>
          <xdr:row>33</xdr:row>
          <xdr:rowOff>313765</xdr:rowOff>
        </xdr:to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ED" spid="_x0000_s5532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6311350" y="10244893"/>
              <a:ext cx="4441945" cy="331728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12</xdr:col>
      <xdr:colOff>336176</xdr:colOff>
      <xdr:row>28</xdr:row>
      <xdr:rowOff>229397</xdr:rowOff>
    </xdr:from>
    <xdr:to>
      <xdr:col>12</xdr:col>
      <xdr:colOff>570638</xdr:colOff>
      <xdr:row>29</xdr:row>
      <xdr:rowOff>19502</xdr:rowOff>
    </xdr:to>
    <xdr:sp macro="" textlink="">
      <xdr:nvSpPr>
        <xdr:cNvPr id="19" name="Organigramme : Jonction de sommai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5733058" y="941822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152801</xdr:colOff>
      <xdr:row>48</xdr:row>
      <xdr:rowOff>350850</xdr:rowOff>
    </xdr:from>
    <xdr:to>
      <xdr:col>1</xdr:col>
      <xdr:colOff>1968310</xdr:colOff>
      <xdr:row>51</xdr:row>
      <xdr:rowOff>420585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736" y="19561662"/>
          <a:ext cx="1815509" cy="136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419284</xdr:colOff>
      <xdr:row>49</xdr:row>
      <xdr:rowOff>19655</xdr:rowOff>
    </xdr:from>
    <xdr:to>
      <xdr:col>2</xdr:col>
      <xdr:colOff>2378524</xdr:colOff>
      <xdr:row>52</xdr:row>
      <xdr:rowOff>61851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7141" y="19663421"/>
          <a:ext cx="1959240" cy="134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76726</xdr:colOff>
      <xdr:row>52</xdr:row>
      <xdr:rowOff>227625</xdr:rowOff>
    </xdr:from>
    <xdr:to>
      <xdr:col>1</xdr:col>
      <xdr:colOff>2072160</xdr:colOff>
      <xdr:row>55</xdr:row>
      <xdr:rowOff>235031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661" y="21170255"/>
          <a:ext cx="1995434" cy="130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431191</xdr:colOff>
      <xdr:row>52</xdr:row>
      <xdr:rowOff>263810</xdr:rowOff>
    </xdr:from>
    <xdr:to>
      <xdr:col>2</xdr:col>
      <xdr:colOff>2328134</xdr:colOff>
      <xdr:row>55</xdr:row>
      <xdr:rowOff>235031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9048" y="21206440"/>
          <a:ext cx="1896943" cy="127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107465</xdr:colOff>
      <xdr:row>56</xdr:row>
      <xdr:rowOff>114255</xdr:rowOff>
    </xdr:from>
    <xdr:to>
      <xdr:col>1</xdr:col>
      <xdr:colOff>2085874</xdr:colOff>
      <xdr:row>59</xdr:row>
      <xdr:rowOff>49481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400" y="22788703"/>
          <a:ext cx="1978409" cy="1234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173182</xdr:colOff>
      <xdr:row>4</xdr:row>
      <xdr:rowOff>70830</xdr:rowOff>
    </xdr:from>
    <xdr:to>
      <xdr:col>1</xdr:col>
      <xdr:colOff>1010715</xdr:colOff>
      <xdr:row>8</xdr:row>
      <xdr:rowOff>133408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1" t="19853" r="48307" b="42963"/>
        <a:stretch/>
      </xdr:blipFill>
      <xdr:spPr>
        <a:xfrm>
          <a:off x="173182" y="1493395"/>
          <a:ext cx="2272468" cy="144555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173182</xdr:colOff>
      <xdr:row>13</xdr:row>
      <xdr:rowOff>262287</xdr:rowOff>
    </xdr:from>
    <xdr:to>
      <xdr:col>1</xdr:col>
      <xdr:colOff>1520819</xdr:colOff>
      <xdr:row>17</xdr:row>
      <xdr:rowOff>334616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1" t="10083" r="38057" b="39655"/>
        <a:stretch/>
      </xdr:blipFill>
      <xdr:spPr>
        <a:xfrm>
          <a:off x="173182" y="4851605"/>
          <a:ext cx="2782572" cy="18041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161976</xdr:colOff>
      <xdr:row>8</xdr:row>
      <xdr:rowOff>255672</xdr:rowOff>
    </xdr:from>
    <xdr:to>
      <xdr:col>1</xdr:col>
      <xdr:colOff>1382836</xdr:colOff>
      <xdr:row>13</xdr:row>
      <xdr:rowOff>82972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4" t="3150" r="36275" b="42019"/>
        <a:stretch/>
      </xdr:blipFill>
      <xdr:spPr>
        <a:xfrm>
          <a:off x="161976" y="3202819"/>
          <a:ext cx="2655213" cy="201244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148369</xdr:colOff>
      <xdr:row>18</xdr:row>
      <xdr:rowOff>133622</xdr:rowOff>
    </xdr:from>
    <xdr:to>
      <xdr:col>1</xdr:col>
      <xdr:colOff>1583702</xdr:colOff>
      <xdr:row>22</xdr:row>
      <xdr:rowOff>311751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7" t="1103" r="30371" b="40127"/>
        <a:stretch/>
      </xdr:blipFill>
      <xdr:spPr>
        <a:xfrm>
          <a:off x="148369" y="7427051"/>
          <a:ext cx="2864083" cy="191984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1809750</xdr:colOff>
      <xdr:row>12</xdr:row>
      <xdr:rowOff>186885</xdr:rowOff>
    </xdr:from>
    <xdr:to>
      <xdr:col>4</xdr:col>
      <xdr:colOff>450888</xdr:colOff>
      <xdr:row>13</xdr:row>
      <xdr:rowOff>231658</xdr:rowOff>
    </xdr:to>
    <xdr:sp macro="" textlink="">
      <xdr:nvSpPr>
        <xdr:cNvPr id="73" name="Flèche à angle droit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 flipH="1" flipV="1">
          <a:off x="5347607" y="4867742"/>
          <a:ext cx="2233424" cy="480202"/>
        </a:xfrm>
        <a:prstGeom prst="bentUp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fr-FR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12</xdr:col>
      <xdr:colOff>246530</xdr:colOff>
      <xdr:row>10</xdr:row>
      <xdr:rowOff>44825</xdr:rowOff>
    </xdr:from>
    <xdr:to>
      <xdr:col>13</xdr:col>
      <xdr:colOff>1176617</xdr:colOff>
      <xdr:row>13</xdr:row>
      <xdr:rowOff>290133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5148" y="3866031"/>
          <a:ext cx="2274792" cy="155639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1523999</xdr:colOff>
      <xdr:row>10</xdr:row>
      <xdr:rowOff>112059</xdr:rowOff>
    </xdr:from>
    <xdr:to>
      <xdr:col>14</xdr:col>
      <xdr:colOff>1042144</xdr:colOff>
      <xdr:row>13</xdr:row>
      <xdr:rowOff>176398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7323" y="3933265"/>
          <a:ext cx="1669676" cy="1375427"/>
        </a:xfrm>
        <a:prstGeom prst="rect">
          <a:avLst/>
        </a:prstGeom>
      </xdr:spPr>
    </xdr:pic>
    <xdr:clientData/>
  </xdr:twoCellAnchor>
  <xdr:twoCellAnchor editAs="oneCell">
    <xdr:from>
      <xdr:col>1</xdr:col>
      <xdr:colOff>674368</xdr:colOff>
      <xdr:row>25</xdr:row>
      <xdr:rowOff>136071</xdr:rowOff>
    </xdr:from>
    <xdr:to>
      <xdr:col>3</xdr:col>
      <xdr:colOff>571877</xdr:colOff>
      <xdr:row>31</xdr:row>
      <xdr:rowOff>73586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18" y="10477500"/>
          <a:ext cx="4455902" cy="23051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</xdr:col>
      <xdr:colOff>68035</xdr:colOff>
      <xdr:row>14</xdr:row>
      <xdr:rowOff>54429</xdr:rowOff>
    </xdr:from>
    <xdr:to>
      <xdr:col>4</xdr:col>
      <xdr:colOff>256697</xdr:colOff>
      <xdr:row>22</xdr:row>
      <xdr:rowOff>326572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892" y="5606143"/>
          <a:ext cx="3780948" cy="375557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</xdr:col>
      <xdr:colOff>244931</xdr:colOff>
      <xdr:row>2</xdr:row>
      <xdr:rowOff>176892</xdr:rowOff>
    </xdr:from>
    <xdr:to>
      <xdr:col>4</xdr:col>
      <xdr:colOff>81643</xdr:colOff>
      <xdr:row>11</xdr:row>
      <xdr:rowOff>410246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788" y="1006928"/>
          <a:ext cx="3428998" cy="3648747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29</xdr:row>
      <xdr:rowOff>149679</xdr:rowOff>
    </xdr:from>
    <xdr:to>
      <xdr:col>4</xdr:col>
      <xdr:colOff>435428</xdr:colOff>
      <xdr:row>29</xdr:row>
      <xdr:rowOff>367393</xdr:rowOff>
    </xdr:to>
    <xdr:sp macro="" textlink="">
      <xdr:nvSpPr>
        <xdr:cNvPr id="11" name="Flèche gauch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6844393" y="11987893"/>
          <a:ext cx="721178" cy="217714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14968</xdr:colOff>
      <xdr:row>0</xdr:row>
      <xdr:rowOff>733425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8575"/>
          <a:ext cx="70076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0</xdr:row>
      <xdr:rowOff>19050</xdr:rowOff>
    </xdr:from>
    <xdr:to>
      <xdr:col>14</xdr:col>
      <xdr:colOff>117173</xdr:colOff>
      <xdr:row>0</xdr:row>
      <xdr:rowOff>706855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9050"/>
          <a:ext cx="1860248" cy="6878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104775</xdr:rowOff>
        </xdr:from>
        <xdr:to>
          <xdr:col>2</xdr:col>
          <xdr:colOff>57150</xdr:colOff>
          <xdr:row>1</xdr:row>
          <xdr:rowOff>342900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4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51</xdr:row>
      <xdr:rowOff>69627</xdr:rowOff>
    </xdr:from>
    <xdr:to>
      <xdr:col>2</xdr:col>
      <xdr:colOff>695325</xdr:colOff>
      <xdr:row>59</xdr:row>
      <xdr:rowOff>27134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9842277"/>
          <a:ext cx="1924049" cy="1481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59</xdr:row>
      <xdr:rowOff>38101</xdr:rowOff>
    </xdr:from>
    <xdr:to>
      <xdr:col>2</xdr:col>
      <xdr:colOff>714376</xdr:colOff>
      <xdr:row>66</xdr:row>
      <xdr:rowOff>47625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1334751"/>
          <a:ext cx="1943100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66</xdr:row>
      <xdr:rowOff>85725</xdr:rowOff>
    </xdr:from>
    <xdr:to>
      <xdr:col>2</xdr:col>
      <xdr:colOff>733426</xdr:colOff>
      <xdr:row>73</xdr:row>
      <xdr:rowOff>28575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6" y="12715875"/>
          <a:ext cx="19621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73</xdr:row>
      <xdr:rowOff>114301</xdr:rowOff>
    </xdr:from>
    <xdr:to>
      <xdr:col>2</xdr:col>
      <xdr:colOff>704850</xdr:colOff>
      <xdr:row>80</xdr:row>
      <xdr:rowOff>58097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97001"/>
          <a:ext cx="1943100" cy="131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80</xdr:row>
      <xdr:rowOff>104775</xdr:rowOff>
    </xdr:from>
    <xdr:to>
      <xdr:col>2</xdr:col>
      <xdr:colOff>714376</xdr:colOff>
      <xdr:row>86</xdr:row>
      <xdr:rowOff>131030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15459075"/>
          <a:ext cx="1962150" cy="124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65</xdr:row>
      <xdr:rowOff>123824</xdr:rowOff>
    </xdr:from>
    <xdr:to>
      <xdr:col>7</xdr:col>
      <xdr:colOff>238861</xdr:colOff>
      <xdr:row>88</xdr:row>
      <xdr:rowOff>84805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1926" y="12563474"/>
          <a:ext cx="3172560" cy="451393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89</xdr:row>
      <xdr:rowOff>154372</xdr:rowOff>
    </xdr:from>
    <xdr:to>
      <xdr:col>7</xdr:col>
      <xdr:colOff>238352</xdr:colOff>
      <xdr:row>104</xdr:row>
      <xdr:rowOff>170898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" r="59061"/>
        <a:stretch/>
      </xdr:blipFill>
      <xdr:spPr>
        <a:xfrm>
          <a:off x="4000501" y="17318422"/>
          <a:ext cx="3143476" cy="2874026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46</xdr:row>
      <xdr:rowOff>123825</xdr:rowOff>
    </xdr:from>
    <xdr:to>
      <xdr:col>12</xdr:col>
      <xdr:colOff>0</xdr:colOff>
      <xdr:row>69</xdr:row>
      <xdr:rowOff>151894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24650" y="695325"/>
          <a:ext cx="2752725" cy="418096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105</xdr:row>
      <xdr:rowOff>123825</xdr:rowOff>
    </xdr:from>
    <xdr:to>
      <xdr:col>7</xdr:col>
      <xdr:colOff>239700</xdr:colOff>
      <xdr:row>120</xdr:row>
      <xdr:rowOff>113355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9080" r="-23" b="1045"/>
        <a:stretch/>
      </xdr:blipFill>
      <xdr:spPr>
        <a:xfrm>
          <a:off x="3962400" y="20335875"/>
          <a:ext cx="3182925" cy="284703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131</xdr:row>
      <xdr:rowOff>47625</xdr:rowOff>
    </xdr:from>
    <xdr:to>
      <xdr:col>6</xdr:col>
      <xdr:colOff>876998</xdr:colOff>
      <xdr:row>159</xdr:row>
      <xdr:rowOff>4396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1" y="16983075"/>
          <a:ext cx="4658422" cy="5309821"/>
        </a:xfrm>
        <a:prstGeom prst="rect">
          <a:avLst/>
        </a:prstGeom>
      </xdr:spPr>
    </xdr:pic>
    <xdr:clientData/>
  </xdr:twoCellAnchor>
  <xdr:twoCellAnchor editAs="oneCell">
    <xdr:from>
      <xdr:col>7</xdr:col>
      <xdr:colOff>1351817</xdr:colOff>
      <xdr:row>133</xdr:row>
      <xdr:rowOff>158995</xdr:rowOff>
    </xdr:from>
    <xdr:to>
      <xdr:col>12</xdr:col>
      <xdr:colOff>2198</xdr:colOff>
      <xdr:row>167</xdr:row>
      <xdr:rowOff>51289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7492" y="17475445"/>
          <a:ext cx="4593981" cy="639786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1333499</xdr:colOff>
      <xdr:row>130</xdr:row>
      <xdr:rowOff>51288</xdr:rowOff>
    </xdr:from>
    <xdr:to>
      <xdr:col>12</xdr:col>
      <xdr:colOff>2590</xdr:colOff>
      <xdr:row>133</xdr:row>
      <xdr:rowOff>164258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29174" y="16796238"/>
          <a:ext cx="4726991" cy="684470"/>
        </a:xfrm>
        <a:prstGeom prst="rect">
          <a:avLst/>
        </a:prstGeom>
      </xdr:spPr>
    </xdr:pic>
    <xdr:clientData/>
  </xdr:twoCellAnchor>
  <xdr:oneCellAnchor>
    <xdr:from>
      <xdr:col>4</xdr:col>
      <xdr:colOff>57150</xdr:colOff>
      <xdr:row>46</xdr:row>
      <xdr:rowOff>57150</xdr:rowOff>
    </xdr:from>
    <xdr:ext cx="3076575" cy="3362325"/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90975" y="8877300"/>
          <a:ext cx="3076575" cy="3362325"/>
        </a:xfrm>
        <a:prstGeom prst="rect">
          <a:avLst/>
        </a:prstGeom>
      </xdr:spPr>
    </xdr:pic>
    <xdr:clientData/>
  </xdr:oneCellAnchor>
  <xdr:twoCellAnchor editAs="oneCell">
    <xdr:from>
      <xdr:col>17</xdr:col>
      <xdr:colOff>305874</xdr:colOff>
      <xdr:row>62</xdr:row>
      <xdr:rowOff>9524</xdr:rowOff>
    </xdr:from>
    <xdr:to>
      <xdr:col>24</xdr:col>
      <xdr:colOff>160658</xdr:colOff>
      <xdr:row>74</xdr:row>
      <xdr:rowOff>170859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422299" y="13401674"/>
          <a:ext cx="5331659" cy="24854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190501</xdr:colOff>
      <xdr:row>19</xdr:row>
      <xdr:rowOff>335221</xdr:rowOff>
    </xdr:from>
    <xdr:to>
      <xdr:col>6</xdr:col>
      <xdr:colOff>2495551</xdr:colOff>
      <xdr:row>19</xdr:row>
      <xdr:rowOff>1210065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6" y="17975521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20</xdr:row>
      <xdr:rowOff>257175</xdr:rowOff>
    </xdr:from>
    <xdr:to>
      <xdr:col>6</xdr:col>
      <xdr:colOff>2533650</xdr:colOff>
      <xdr:row>20</xdr:row>
      <xdr:rowOff>1132019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19288125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33491</xdr:colOff>
      <xdr:row>25</xdr:row>
      <xdr:rowOff>266700</xdr:rowOff>
    </xdr:from>
    <xdr:to>
      <xdr:col>6</xdr:col>
      <xdr:colOff>2619375</xdr:colOff>
      <xdr:row>25</xdr:row>
      <xdr:rowOff>1189506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5116" y="2346960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26</xdr:row>
      <xdr:rowOff>285750</xdr:rowOff>
    </xdr:from>
    <xdr:to>
      <xdr:col>6</xdr:col>
      <xdr:colOff>2671609</xdr:colOff>
      <xdr:row>26</xdr:row>
      <xdr:rowOff>1208556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7350" y="2487930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27</xdr:row>
      <xdr:rowOff>207049</xdr:rowOff>
    </xdr:from>
    <xdr:to>
      <xdr:col>6</xdr:col>
      <xdr:colOff>2683966</xdr:colOff>
      <xdr:row>27</xdr:row>
      <xdr:rowOff>1200150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4" y="26191249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28</xdr:row>
      <xdr:rowOff>190500</xdr:rowOff>
    </xdr:from>
    <xdr:to>
      <xdr:col>6</xdr:col>
      <xdr:colOff>2636342</xdr:colOff>
      <xdr:row>28</xdr:row>
      <xdr:rowOff>1183601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2756535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35</xdr:row>
      <xdr:rowOff>219075</xdr:rowOff>
    </xdr:from>
    <xdr:to>
      <xdr:col>6</xdr:col>
      <xdr:colOff>2664917</xdr:colOff>
      <xdr:row>35</xdr:row>
      <xdr:rowOff>1212176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34547175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36</xdr:row>
      <xdr:rowOff>266700</xdr:rowOff>
    </xdr:from>
    <xdr:to>
      <xdr:col>6</xdr:col>
      <xdr:colOff>2664917</xdr:colOff>
      <xdr:row>36</xdr:row>
      <xdr:rowOff>1259801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3598545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33</xdr:row>
      <xdr:rowOff>247650</xdr:rowOff>
    </xdr:from>
    <xdr:to>
      <xdr:col>6</xdr:col>
      <xdr:colOff>2652559</xdr:colOff>
      <xdr:row>33</xdr:row>
      <xdr:rowOff>1170456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3179445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34</xdr:row>
      <xdr:rowOff>257175</xdr:rowOff>
    </xdr:from>
    <xdr:to>
      <xdr:col>6</xdr:col>
      <xdr:colOff>2662084</xdr:colOff>
      <xdr:row>34</xdr:row>
      <xdr:rowOff>1179981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33194625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200025</xdr:rowOff>
    </xdr:from>
    <xdr:to>
      <xdr:col>6</xdr:col>
      <xdr:colOff>2674442</xdr:colOff>
      <xdr:row>53</xdr:row>
      <xdr:rowOff>1193126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45653325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54</xdr:row>
      <xdr:rowOff>171450</xdr:rowOff>
    </xdr:from>
    <xdr:to>
      <xdr:col>6</xdr:col>
      <xdr:colOff>2664917</xdr:colOff>
      <xdr:row>54</xdr:row>
      <xdr:rowOff>1164551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775" y="47015400"/>
          <a:ext cx="2607767" cy="993101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51</xdr:row>
      <xdr:rowOff>200025</xdr:rowOff>
    </xdr:from>
    <xdr:to>
      <xdr:col>6</xdr:col>
      <xdr:colOff>2671609</xdr:colOff>
      <xdr:row>51</xdr:row>
      <xdr:rowOff>1122831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7350" y="42872025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52</xdr:row>
      <xdr:rowOff>228600</xdr:rowOff>
    </xdr:from>
    <xdr:to>
      <xdr:col>6</xdr:col>
      <xdr:colOff>2633509</xdr:colOff>
      <xdr:row>52</xdr:row>
      <xdr:rowOff>1151406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0" y="44291250"/>
          <a:ext cx="2585884" cy="922806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55</xdr:row>
      <xdr:rowOff>180975</xdr:rowOff>
    </xdr:from>
    <xdr:to>
      <xdr:col>6</xdr:col>
      <xdr:colOff>2666300</xdr:colOff>
      <xdr:row>55</xdr:row>
      <xdr:rowOff>1209674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724" y="48415575"/>
          <a:ext cx="2628201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56</xdr:row>
      <xdr:rowOff>123825</xdr:rowOff>
    </xdr:from>
    <xdr:to>
      <xdr:col>6</xdr:col>
      <xdr:colOff>2647251</xdr:colOff>
      <xdr:row>56</xdr:row>
      <xdr:rowOff>1152524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49749075"/>
          <a:ext cx="2628201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74092</xdr:colOff>
      <xdr:row>46</xdr:row>
      <xdr:rowOff>104775</xdr:rowOff>
    </xdr:from>
    <xdr:to>
      <xdr:col>6</xdr:col>
      <xdr:colOff>2675849</xdr:colOff>
      <xdr:row>46</xdr:row>
      <xdr:rowOff>1266825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717" y="46948725"/>
          <a:ext cx="2601757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45</xdr:row>
      <xdr:rowOff>123825</xdr:rowOff>
    </xdr:from>
    <xdr:to>
      <xdr:col>6</xdr:col>
      <xdr:colOff>2677957</xdr:colOff>
      <xdr:row>45</xdr:row>
      <xdr:rowOff>1285875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45577125"/>
          <a:ext cx="2601757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44</xdr:row>
      <xdr:rowOff>161925</xdr:rowOff>
    </xdr:from>
    <xdr:to>
      <xdr:col>6</xdr:col>
      <xdr:colOff>2522096</xdr:colOff>
      <xdr:row>44</xdr:row>
      <xdr:rowOff>1200150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7825" y="44224575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43</xdr:row>
      <xdr:rowOff>190500</xdr:rowOff>
    </xdr:from>
    <xdr:to>
      <xdr:col>6</xdr:col>
      <xdr:colOff>2617346</xdr:colOff>
      <xdr:row>43</xdr:row>
      <xdr:rowOff>1228725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3075" y="42862500"/>
          <a:ext cx="2445896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257175</xdr:rowOff>
    </xdr:from>
    <xdr:to>
      <xdr:col>6</xdr:col>
      <xdr:colOff>2495550</xdr:colOff>
      <xdr:row>41</xdr:row>
      <xdr:rowOff>1132019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40147875"/>
          <a:ext cx="2305050" cy="874844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42</xdr:row>
      <xdr:rowOff>304800</xdr:rowOff>
    </xdr:from>
    <xdr:to>
      <xdr:col>6</xdr:col>
      <xdr:colOff>2524125</xdr:colOff>
      <xdr:row>42</xdr:row>
      <xdr:rowOff>1179644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0700" y="41586150"/>
          <a:ext cx="2305050" cy="874844"/>
        </a:xfrm>
        <a:prstGeom prst="rect">
          <a:avLst/>
        </a:prstGeom>
      </xdr:spPr>
    </xdr:pic>
    <xdr:clientData/>
  </xdr:twoCellAnchor>
  <xdr:twoCellAnchor>
    <xdr:from>
      <xdr:col>5</xdr:col>
      <xdr:colOff>733425</xdr:colOff>
      <xdr:row>60</xdr:row>
      <xdr:rowOff>104775</xdr:rowOff>
    </xdr:from>
    <xdr:to>
      <xdr:col>5</xdr:col>
      <xdr:colOff>885825</xdr:colOff>
      <xdr:row>60</xdr:row>
      <xdr:rowOff>257175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11020425" y="61493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60</xdr:row>
      <xdr:rowOff>1295400</xdr:rowOff>
    </xdr:from>
    <xdr:to>
      <xdr:col>5</xdr:col>
      <xdr:colOff>904875</xdr:colOff>
      <xdr:row>60</xdr:row>
      <xdr:rowOff>1447800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11039475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60</xdr:row>
      <xdr:rowOff>95250</xdr:rowOff>
    </xdr:from>
    <xdr:to>
      <xdr:col>5</xdr:col>
      <xdr:colOff>2143125</xdr:colOff>
      <xdr:row>60</xdr:row>
      <xdr:rowOff>247650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12277725" y="61483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60</xdr:row>
      <xdr:rowOff>1295400</xdr:rowOff>
    </xdr:from>
    <xdr:to>
      <xdr:col>5</xdr:col>
      <xdr:colOff>2152650</xdr:colOff>
      <xdr:row>60</xdr:row>
      <xdr:rowOff>1447800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12287250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62</xdr:row>
      <xdr:rowOff>104775</xdr:rowOff>
    </xdr:from>
    <xdr:to>
      <xdr:col>5</xdr:col>
      <xdr:colOff>885825</xdr:colOff>
      <xdr:row>62</xdr:row>
      <xdr:rowOff>257175</xdr:rowOff>
    </xdr:to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/>
      </xdr:nvSpPr>
      <xdr:spPr>
        <a:xfrm>
          <a:off x="11020425" y="61493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62</xdr:row>
      <xdr:rowOff>1295400</xdr:rowOff>
    </xdr:from>
    <xdr:to>
      <xdr:col>5</xdr:col>
      <xdr:colOff>904875</xdr:colOff>
      <xdr:row>62</xdr:row>
      <xdr:rowOff>1447800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/>
      </xdr:nvSpPr>
      <xdr:spPr>
        <a:xfrm>
          <a:off x="11039475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62</xdr:row>
      <xdr:rowOff>95250</xdr:rowOff>
    </xdr:from>
    <xdr:to>
      <xdr:col>5</xdr:col>
      <xdr:colOff>2143125</xdr:colOff>
      <xdr:row>62</xdr:row>
      <xdr:rowOff>247650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/>
      </xdr:nvSpPr>
      <xdr:spPr>
        <a:xfrm>
          <a:off x="12277725" y="61483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62</xdr:row>
      <xdr:rowOff>1295400</xdr:rowOff>
    </xdr:from>
    <xdr:to>
      <xdr:col>5</xdr:col>
      <xdr:colOff>2152650</xdr:colOff>
      <xdr:row>62</xdr:row>
      <xdr:rowOff>1447800</xdr:rowOff>
    </xdr:to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/>
      </xdr:nvSpPr>
      <xdr:spPr>
        <a:xfrm>
          <a:off x="12287250" y="626840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64</xdr:row>
      <xdr:rowOff>262303</xdr:rowOff>
    </xdr:from>
    <xdr:to>
      <xdr:col>5</xdr:col>
      <xdr:colOff>493102</xdr:colOff>
      <xdr:row>64</xdr:row>
      <xdr:rowOff>414703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/>
      </xdr:nvSpPr>
      <xdr:spPr>
        <a:xfrm>
          <a:off x="10642356" y="6476120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64</xdr:row>
      <xdr:rowOff>1214804</xdr:rowOff>
    </xdr:from>
    <xdr:to>
      <xdr:col>5</xdr:col>
      <xdr:colOff>487241</xdr:colOff>
      <xdr:row>64</xdr:row>
      <xdr:rowOff>1367204</xdr:rowOff>
    </xdr:to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/>
      </xdr:nvSpPr>
      <xdr:spPr>
        <a:xfrm>
          <a:off x="10636495" y="6571370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64</xdr:row>
      <xdr:rowOff>244719</xdr:rowOff>
    </xdr:from>
    <xdr:to>
      <xdr:col>5</xdr:col>
      <xdr:colOff>2380518</xdr:colOff>
      <xdr:row>64</xdr:row>
      <xdr:rowOff>397119</xdr:rowOff>
    </xdr:to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/>
      </xdr:nvSpPr>
      <xdr:spPr>
        <a:xfrm>
          <a:off x="12529772" y="6474362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64</xdr:row>
      <xdr:rowOff>1244111</xdr:rowOff>
    </xdr:from>
    <xdr:to>
      <xdr:col>5</xdr:col>
      <xdr:colOff>2372458</xdr:colOff>
      <xdr:row>64</xdr:row>
      <xdr:rowOff>1396511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/>
      </xdr:nvSpPr>
      <xdr:spPr>
        <a:xfrm>
          <a:off x="12521712" y="6574301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64</xdr:row>
      <xdr:rowOff>791308</xdr:rowOff>
    </xdr:from>
    <xdr:to>
      <xdr:col>5</xdr:col>
      <xdr:colOff>2293327</xdr:colOff>
      <xdr:row>64</xdr:row>
      <xdr:rowOff>849923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10689981" y="652902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66</xdr:row>
      <xdr:rowOff>262303</xdr:rowOff>
    </xdr:from>
    <xdr:to>
      <xdr:col>5</xdr:col>
      <xdr:colOff>493102</xdr:colOff>
      <xdr:row>66</xdr:row>
      <xdr:rowOff>414703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SpPr/>
      </xdr:nvSpPr>
      <xdr:spPr>
        <a:xfrm>
          <a:off x="27177390" y="7547408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66</xdr:row>
      <xdr:rowOff>1214804</xdr:rowOff>
    </xdr:from>
    <xdr:to>
      <xdr:col>5</xdr:col>
      <xdr:colOff>487241</xdr:colOff>
      <xdr:row>66</xdr:row>
      <xdr:rowOff>1367204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SpPr/>
      </xdr:nvSpPr>
      <xdr:spPr>
        <a:xfrm>
          <a:off x="27171529" y="7642658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66</xdr:row>
      <xdr:rowOff>244719</xdr:rowOff>
    </xdr:from>
    <xdr:to>
      <xdr:col>5</xdr:col>
      <xdr:colOff>2380518</xdr:colOff>
      <xdr:row>66</xdr:row>
      <xdr:rowOff>397119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/>
      </xdr:nvSpPr>
      <xdr:spPr>
        <a:xfrm>
          <a:off x="29064806" y="754565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66</xdr:row>
      <xdr:rowOff>1244111</xdr:rowOff>
    </xdr:from>
    <xdr:to>
      <xdr:col>5</xdr:col>
      <xdr:colOff>2372458</xdr:colOff>
      <xdr:row>66</xdr:row>
      <xdr:rowOff>1396511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SpPr/>
      </xdr:nvSpPr>
      <xdr:spPr>
        <a:xfrm>
          <a:off x="29056746" y="7645589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66</xdr:row>
      <xdr:rowOff>805962</xdr:rowOff>
    </xdr:from>
    <xdr:to>
      <xdr:col>5</xdr:col>
      <xdr:colOff>2315308</xdr:colOff>
      <xdr:row>66</xdr:row>
      <xdr:rowOff>864577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/>
      </xdr:nvSpPr>
      <xdr:spPr>
        <a:xfrm>
          <a:off x="27246996" y="7601774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67</xdr:row>
      <xdr:rowOff>262303</xdr:rowOff>
    </xdr:from>
    <xdr:to>
      <xdr:col>5</xdr:col>
      <xdr:colOff>493102</xdr:colOff>
      <xdr:row>67</xdr:row>
      <xdr:rowOff>414703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/>
      </xdr:nvSpPr>
      <xdr:spPr>
        <a:xfrm>
          <a:off x="10889640" y="74890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67</xdr:row>
      <xdr:rowOff>1214804</xdr:rowOff>
    </xdr:from>
    <xdr:to>
      <xdr:col>5</xdr:col>
      <xdr:colOff>487241</xdr:colOff>
      <xdr:row>67</xdr:row>
      <xdr:rowOff>1367204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/>
      </xdr:nvSpPr>
      <xdr:spPr>
        <a:xfrm>
          <a:off x="10883779" y="758431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67</xdr:row>
      <xdr:rowOff>244719</xdr:rowOff>
    </xdr:from>
    <xdr:to>
      <xdr:col>5</xdr:col>
      <xdr:colOff>2380518</xdr:colOff>
      <xdr:row>67</xdr:row>
      <xdr:rowOff>397119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/>
      </xdr:nvSpPr>
      <xdr:spPr>
        <a:xfrm>
          <a:off x="12777056" y="74873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67</xdr:row>
      <xdr:rowOff>1244111</xdr:rowOff>
    </xdr:from>
    <xdr:to>
      <xdr:col>5</xdr:col>
      <xdr:colOff>2372458</xdr:colOff>
      <xdr:row>67</xdr:row>
      <xdr:rowOff>1396511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/>
      </xdr:nvSpPr>
      <xdr:spPr>
        <a:xfrm>
          <a:off x="12768996" y="758724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410308</xdr:colOff>
      <xdr:row>67</xdr:row>
      <xdr:rowOff>805962</xdr:rowOff>
    </xdr:from>
    <xdr:to>
      <xdr:col>5</xdr:col>
      <xdr:colOff>2315308</xdr:colOff>
      <xdr:row>67</xdr:row>
      <xdr:rowOff>864577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/>
      </xdr:nvSpPr>
      <xdr:spPr>
        <a:xfrm>
          <a:off x="10959246" y="754343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65</xdr:row>
      <xdr:rowOff>262303</xdr:rowOff>
    </xdr:from>
    <xdr:to>
      <xdr:col>5</xdr:col>
      <xdr:colOff>493102</xdr:colOff>
      <xdr:row>65</xdr:row>
      <xdr:rowOff>414703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/>
      </xdr:nvSpPr>
      <xdr:spPr>
        <a:xfrm>
          <a:off x="10889640" y="68794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65</xdr:row>
      <xdr:rowOff>1214804</xdr:rowOff>
    </xdr:from>
    <xdr:to>
      <xdr:col>5</xdr:col>
      <xdr:colOff>487241</xdr:colOff>
      <xdr:row>65</xdr:row>
      <xdr:rowOff>1367204</xdr:rowOff>
    </xdr:to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/>
      </xdr:nvSpPr>
      <xdr:spPr>
        <a:xfrm>
          <a:off x="10883779" y="697471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65</xdr:row>
      <xdr:rowOff>244719</xdr:rowOff>
    </xdr:from>
    <xdr:to>
      <xdr:col>5</xdr:col>
      <xdr:colOff>2380518</xdr:colOff>
      <xdr:row>65</xdr:row>
      <xdr:rowOff>397119</xdr:rowOff>
    </xdr:to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/>
      </xdr:nvSpPr>
      <xdr:spPr>
        <a:xfrm>
          <a:off x="12777056" y="68777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65</xdr:row>
      <xdr:rowOff>1244111</xdr:rowOff>
    </xdr:from>
    <xdr:to>
      <xdr:col>5</xdr:col>
      <xdr:colOff>2372458</xdr:colOff>
      <xdr:row>65</xdr:row>
      <xdr:rowOff>1396511</xdr:rowOff>
    </xdr:to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/>
      </xdr:nvSpPr>
      <xdr:spPr>
        <a:xfrm>
          <a:off x="12768996" y="697764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388327</xdr:colOff>
      <xdr:row>65</xdr:row>
      <xdr:rowOff>791308</xdr:rowOff>
    </xdr:from>
    <xdr:to>
      <xdr:col>5</xdr:col>
      <xdr:colOff>2293327</xdr:colOff>
      <xdr:row>65</xdr:row>
      <xdr:rowOff>849923</xdr:rowOff>
    </xdr:to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/>
      </xdr:nvSpPr>
      <xdr:spPr>
        <a:xfrm>
          <a:off x="10937265" y="6932368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61</xdr:row>
      <xdr:rowOff>104775</xdr:rowOff>
    </xdr:from>
    <xdr:to>
      <xdr:col>5</xdr:col>
      <xdr:colOff>885825</xdr:colOff>
      <xdr:row>61</xdr:row>
      <xdr:rowOff>257175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SpPr/>
      </xdr:nvSpPr>
      <xdr:spPr>
        <a:xfrm>
          <a:off x="11282363" y="62541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61</xdr:row>
      <xdr:rowOff>1295400</xdr:rowOff>
    </xdr:from>
    <xdr:to>
      <xdr:col>5</xdr:col>
      <xdr:colOff>904875</xdr:colOff>
      <xdr:row>61</xdr:row>
      <xdr:rowOff>1447800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SpPr/>
      </xdr:nvSpPr>
      <xdr:spPr>
        <a:xfrm>
          <a:off x="11301413" y="63731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61</xdr:row>
      <xdr:rowOff>95250</xdr:rowOff>
    </xdr:from>
    <xdr:to>
      <xdr:col>5</xdr:col>
      <xdr:colOff>2143125</xdr:colOff>
      <xdr:row>61</xdr:row>
      <xdr:rowOff>247650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SpPr/>
      </xdr:nvSpPr>
      <xdr:spPr>
        <a:xfrm>
          <a:off x="12539663" y="62531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61</xdr:row>
      <xdr:rowOff>1295400</xdr:rowOff>
    </xdr:from>
    <xdr:to>
      <xdr:col>5</xdr:col>
      <xdr:colOff>2152650</xdr:colOff>
      <xdr:row>61</xdr:row>
      <xdr:rowOff>1447800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SpPr/>
      </xdr:nvSpPr>
      <xdr:spPr>
        <a:xfrm>
          <a:off x="12549188" y="63731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63</xdr:row>
      <xdr:rowOff>104775</xdr:rowOff>
    </xdr:from>
    <xdr:to>
      <xdr:col>5</xdr:col>
      <xdr:colOff>885825</xdr:colOff>
      <xdr:row>63</xdr:row>
      <xdr:rowOff>257175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SpPr/>
      </xdr:nvSpPr>
      <xdr:spPr>
        <a:xfrm>
          <a:off x="11282363" y="6711315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752475</xdr:colOff>
      <xdr:row>63</xdr:row>
      <xdr:rowOff>1295400</xdr:rowOff>
    </xdr:from>
    <xdr:to>
      <xdr:col>5</xdr:col>
      <xdr:colOff>904875</xdr:colOff>
      <xdr:row>63</xdr:row>
      <xdr:rowOff>1447800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SpPr/>
      </xdr:nvSpPr>
      <xdr:spPr>
        <a:xfrm>
          <a:off x="11301413" y="68303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63</xdr:row>
      <xdr:rowOff>95250</xdr:rowOff>
    </xdr:from>
    <xdr:to>
      <xdr:col>5</xdr:col>
      <xdr:colOff>2143125</xdr:colOff>
      <xdr:row>63</xdr:row>
      <xdr:rowOff>247650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SpPr/>
      </xdr:nvSpPr>
      <xdr:spPr>
        <a:xfrm>
          <a:off x="12539663" y="6710362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2000250</xdr:colOff>
      <xdr:row>63</xdr:row>
      <xdr:rowOff>1295400</xdr:rowOff>
    </xdr:from>
    <xdr:to>
      <xdr:col>5</xdr:col>
      <xdr:colOff>2152650</xdr:colOff>
      <xdr:row>63</xdr:row>
      <xdr:rowOff>1447800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SpPr/>
      </xdr:nvSpPr>
      <xdr:spPr>
        <a:xfrm>
          <a:off x="12549188" y="683037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785813</xdr:colOff>
      <xdr:row>61</xdr:row>
      <xdr:rowOff>762000</xdr:rowOff>
    </xdr:from>
    <xdr:to>
      <xdr:col>5</xdr:col>
      <xdr:colOff>2131219</xdr:colOff>
      <xdr:row>61</xdr:row>
      <xdr:rowOff>807719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SpPr/>
      </xdr:nvSpPr>
      <xdr:spPr>
        <a:xfrm>
          <a:off x="11334751" y="6472237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773907</xdr:colOff>
      <xdr:row>63</xdr:row>
      <xdr:rowOff>738188</xdr:rowOff>
    </xdr:from>
    <xdr:to>
      <xdr:col>5</xdr:col>
      <xdr:colOff>2119313</xdr:colOff>
      <xdr:row>63</xdr:row>
      <xdr:rowOff>783907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SpPr/>
      </xdr:nvSpPr>
      <xdr:spPr>
        <a:xfrm>
          <a:off x="11322845" y="6927056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888887</xdr:colOff>
      <xdr:row>61</xdr:row>
      <xdr:rowOff>661465</xdr:rowOff>
    </xdr:from>
    <xdr:to>
      <xdr:col>5</xdr:col>
      <xdr:colOff>1123349</xdr:colOff>
      <xdr:row>61</xdr:row>
      <xdr:rowOff>888599</xdr:rowOff>
    </xdr:to>
    <xdr:sp macro="" textlink="">
      <xdr:nvSpPr>
        <xdr:cNvPr id="299" name="Organigramme : Jonction de sommaire 298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SpPr/>
      </xdr:nvSpPr>
      <xdr:spPr>
        <a:xfrm>
          <a:off x="11566412" y="6502189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1812863</xdr:colOff>
      <xdr:row>61</xdr:row>
      <xdr:rowOff>666750</xdr:rowOff>
    </xdr:from>
    <xdr:to>
      <xdr:col>5</xdr:col>
      <xdr:colOff>2047325</xdr:colOff>
      <xdr:row>61</xdr:row>
      <xdr:rowOff>893884</xdr:rowOff>
    </xdr:to>
    <xdr:sp macro="" textlink="">
      <xdr:nvSpPr>
        <xdr:cNvPr id="300" name="Organigramme : Jonction de sommaire 299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SpPr/>
      </xdr:nvSpPr>
      <xdr:spPr>
        <a:xfrm>
          <a:off x="12490388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777875</xdr:colOff>
      <xdr:row>60</xdr:row>
      <xdr:rowOff>762000</xdr:rowOff>
    </xdr:from>
    <xdr:to>
      <xdr:col>5</xdr:col>
      <xdr:colOff>2123281</xdr:colOff>
      <xdr:row>60</xdr:row>
      <xdr:rowOff>807719</xdr:rowOff>
    </xdr:to>
    <xdr:sp macro="" textlink="">
      <xdr:nvSpPr>
        <xdr:cNvPr id="329" name="Rectangle 328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SpPr/>
      </xdr:nvSpPr>
      <xdr:spPr>
        <a:xfrm>
          <a:off x="11318875" y="6337300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62</xdr:row>
      <xdr:rowOff>746125</xdr:rowOff>
    </xdr:from>
    <xdr:to>
      <xdr:col>5</xdr:col>
      <xdr:colOff>2107406</xdr:colOff>
      <xdr:row>62</xdr:row>
      <xdr:rowOff>791844</xdr:rowOff>
    </xdr:to>
    <xdr:sp macro="" textlink="">
      <xdr:nvSpPr>
        <xdr:cNvPr id="330" name="Rectangle 329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SpPr/>
      </xdr:nvSpPr>
      <xdr:spPr>
        <a:xfrm>
          <a:off x="11303000" y="6945312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68</xdr:row>
      <xdr:rowOff>262303</xdr:rowOff>
    </xdr:from>
    <xdr:to>
      <xdr:col>5</xdr:col>
      <xdr:colOff>493102</xdr:colOff>
      <xdr:row>68</xdr:row>
      <xdr:rowOff>414703</xdr:rowOff>
    </xdr:to>
    <xdr:sp macro="" textlink="">
      <xdr:nvSpPr>
        <xdr:cNvPr id="371" name="Rectangle 370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SpPr/>
      </xdr:nvSpPr>
      <xdr:spPr>
        <a:xfrm>
          <a:off x="10884877" y="915499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68</xdr:row>
      <xdr:rowOff>1672004</xdr:rowOff>
    </xdr:from>
    <xdr:to>
      <xdr:col>5</xdr:col>
      <xdr:colOff>487241</xdr:colOff>
      <xdr:row>68</xdr:row>
      <xdr:rowOff>1824404</xdr:rowOff>
    </xdr:to>
    <xdr:sp macro="" textlink="">
      <xdr:nvSpPr>
        <xdr:cNvPr id="372" name="Rectangle 371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SpPr/>
      </xdr:nvSpPr>
      <xdr:spPr>
        <a:xfrm>
          <a:off x="10879016" y="944836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68</xdr:row>
      <xdr:rowOff>244719</xdr:rowOff>
    </xdr:from>
    <xdr:to>
      <xdr:col>5</xdr:col>
      <xdr:colOff>2380518</xdr:colOff>
      <xdr:row>68</xdr:row>
      <xdr:rowOff>397119</xdr:rowOff>
    </xdr:to>
    <xdr:sp macro="" textlink="">
      <xdr:nvSpPr>
        <xdr:cNvPr id="373" name="Rectangle 372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SpPr/>
      </xdr:nvSpPr>
      <xdr:spPr>
        <a:xfrm>
          <a:off x="12772293" y="915323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68</xdr:row>
      <xdr:rowOff>1701311</xdr:rowOff>
    </xdr:from>
    <xdr:to>
      <xdr:col>5</xdr:col>
      <xdr:colOff>2372458</xdr:colOff>
      <xdr:row>68</xdr:row>
      <xdr:rowOff>1853711</xdr:rowOff>
    </xdr:to>
    <xdr:sp macro="" textlink="">
      <xdr:nvSpPr>
        <xdr:cNvPr id="374" name="Rectangle 373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SpPr/>
      </xdr:nvSpPr>
      <xdr:spPr>
        <a:xfrm>
          <a:off x="12764233" y="945129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68</xdr:row>
      <xdr:rowOff>786912</xdr:rowOff>
    </xdr:from>
    <xdr:to>
      <xdr:col>5</xdr:col>
      <xdr:colOff>2305783</xdr:colOff>
      <xdr:row>68</xdr:row>
      <xdr:rowOff>845527</xdr:rowOff>
    </xdr:to>
    <xdr:sp macro="" textlink="">
      <xdr:nvSpPr>
        <xdr:cNvPr id="375" name="Rectangle 374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SpPr/>
      </xdr:nvSpPr>
      <xdr:spPr>
        <a:xfrm>
          <a:off x="10944958" y="935985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68</xdr:row>
      <xdr:rowOff>262303</xdr:rowOff>
    </xdr:from>
    <xdr:to>
      <xdr:col>5</xdr:col>
      <xdr:colOff>493102</xdr:colOff>
      <xdr:row>68</xdr:row>
      <xdr:rowOff>414703</xdr:rowOff>
    </xdr:to>
    <xdr:sp macro="" textlink="">
      <xdr:nvSpPr>
        <xdr:cNvPr id="380" name="Rectangle 379">
          <a:extLst>
            <a:ext uri="{FF2B5EF4-FFF2-40B4-BE49-F238E27FC236}">
              <a16:creationId xmlns:a16="http://schemas.microsoft.com/office/drawing/2014/main" id="{00000000-0008-0000-0700-00007C010000}"/>
            </a:ext>
          </a:extLst>
        </xdr:cNvPr>
        <xdr:cNvSpPr/>
      </xdr:nvSpPr>
      <xdr:spPr>
        <a:xfrm>
          <a:off x="10884877" y="915499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68</xdr:row>
      <xdr:rowOff>1672004</xdr:rowOff>
    </xdr:from>
    <xdr:to>
      <xdr:col>5</xdr:col>
      <xdr:colOff>487241</xdr:colOff>
      <xdr:row>68</xdr:row>
      <xdr:rowOff>1824404</xdr:rowOff>
    </xdr:to>
    <xdr:sp macro="" textlink="">
      <xdr:nvSpPr>
        <xdr:cNvPr id="381" name="Rectangle 380">
          <a:extLst>
            <a:ext uri="{FF2B5EF4-FFF2-40B4-BE49-F238E27FC236}">
              <a16:creationId xmlns:a16="http://schemas.microsoft.com/office/drawing/2014/main" id="{00000000-0008-0000-0700-00007D010000}"/>
            </a:ext>
          </a:extLst>
        </xdr:cNvPr>
        <xdr:cNvSpPr/>
      </xdr:nvSpPr>
      <xdr:spPr>
        <a:xfrm>
          <a:off x="10879016" y="944836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68</xdr:row>
      <xdr:rowOff>244719</xdr:rowOff>
    </xdr:from>
    <xdr:to>
      <xdr:col>5</xdr:col>
      <xdr:colOff>2380518</xdr:colOff>
      <xdr:row>68</xdr:row>
      <xdr:rowOff>397119</xdr:rowOff>
    </xdr:to>
    <xdr:sp macro="" textlink="">
      <xdr:nvSpPr>
        <xdr:cNvPr id="382" name="Rectangle 381">
          <a:extLst>
            <a:ext uri="{FF2B5EF4-FFF2-40B4-BE49-F238E27FC236}">
              <a16:creationId xmlns:a16="http://schemas.microsoft.com/office/drawing/2014/main" id="{00000000-0008-0000-0700-00007E010000}"/>
            </a:ext>
          </a:extLst>
        </xdr:cNvPr>
        <xdr:cNvSpPr/>
      </xdr:nvSpPr>
      <xdr:spPr>
        <a:xfrm>
          <a:off x="12772293" y="915323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68</xdr:row>
      <xdr:rowOff>1701311</xdr:rowOff>
    </xdr:from>
    <xdr:to>
      <xdr:col>5</xdr:col>
      <xdr:colOff>2372458</xdr:colOff>
      <xdr:row>68</xdr:row>
      <xdr:rowOff>1853711</xdr:rowOff>
    </xdr:to>
    <xdr:sp macro="" textlink="">
      <xdr:nvSpPr>
        <xdr:cNvPr id="383" name="Rectangle 382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SpPr/>
      </xdr:nvSpPr>
      <xdr:spPr>
        <a:xfrm>
          <a:off x="12764233" y="945129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68</xdr:row>
      <xdr:rowOff>1271099</xdr:rowOff>
    </xdr:from>
    <xdr:to>
      <xdr:col>5</xdr:col>
      <xdr:colOff>2301875</xdr:colOff>
      <xdr:row>68</xdr:row>
      <xdr:rowOff>1329714</xdr:rowOff>
    </xdr:to>
    <xdr:sp macro="" textlink="">
      <xdr:nvSpPr>
        <xdr:cNvPr id="395" name="Rectangle 394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SpPr/>
      </xdr:nvSpPr>
      <xdr:spPr>
        <a:xfrm>
          <a:off x="10937875" y="9401284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69</xdr:row>
      <xdr:rowOff>262303</xdr:rowOff>
    </xdr:from>
    <xdr:to>
      <xdr:col>5</xdr:col>
      <xdr:colOff>493102</xdr:colOff>
      <xdr:row>69</xdr:row>
      <xdr:rowOff>414703</xdr:rowOff>
    </xdr:to>
    <xdr:sp macro="" textlink="">
      <xdr:nvSpPr>
        <xdr:cNvPr id="402" name="Rectangle 401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69</xdr:row>
      <xdr:rowOff>1672004</xdr:rowOff>
    </xdr:from>
    <xdr:to>
      <xdr:col>5</xdr:col>
      <xdr:colOff>487241</xdr:colOff>
      <xdr:row>69</xdr:row>
      <xdr:rowOff>1824404</xdr:rowOff>
    </xdr:to>
    <xdr:sp macro="" textlink="">
      <xdr:nvSpPr>
        <xdr:cNvPr id="403" name="Rectangle 402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69</xdr:row>
      <xdr:rowOff>244719</xdr:rowOff>
    </xdr:from>
    <xdr:to>
      <xdr:col>5</xdr:col>
      <xdr:colOff>2380518</xdr:colOff>
      <xdr:row>69</xdr:row>
      <xdr:rowOff>397119</xdr:rowOff>
    </xdr:to>
    <xdr:sp macro="" textlink="">
      <xdr:nvSpPr>
        <xdr:cNvPr id="404" name="Rectangle 403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69</xdr:row>
      <xdr:rowOff>1701311</xdr:rowOff>
    </xdr:from>
    <xdr:to>
      <xdr:col>5</xdr:col>
      <xdr:colOff>2372458</xdr:colOff>
      <xdr:row>69</xdr:row>
      <xdr:rowOff>1853711</xdr:rowOff>
    </xdr:to>
    <xdr:sp macro="" textlink="">
      <xdr:nvSpPr>
        <xdr:cNvPr id="405" name="Rectangle 404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69</xdr:row>
      <xdr:rowOff>786912</xdr:rowOff>
    </xdr:from>
    <xdr:to>
      <xdr:col>5</xdr:col>
      <xdr:colOff>2305783</xdr:colOff>
      <xdr:row>69</xdr:row>
      <xdr:rowOff>845527</xdr:rowOff>
    </xdr:to>
    <xdr:sp macro="" textlink="">
      <xdr:nvSpPr>
        <xdr:cNvPr id="406" name="Rectangle 405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69</xdr:row>
      <xdr:rowOff>262303</xdr:rowOff>
    </xdr:from>
    <xdr:to>
      <xdr:col>5</xdr:col>
      <xdr:colOff>493102</xdr:colOff>
      <xdr:row>69</xdr:row>
      <xdr:rowOff>414703</xdr:rowOff>
    </xdr:to>
    <xdr:sp macro="" textlink="">
      <xdr:nvSpPr>
        <xdr:cNvPr id="410" name="Rectangle 409">
          <a:extLst>
            <a:ext uri="{FF2B5EF4-FFF2-40B4-BE49-F238E27FC236}">
              <a16:creationId xmlns:a16="http://schemas.microsoft.com/office/drawing/2014/main" id="{00000000-0008-0000-0700-00009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69</xdr:row>
      <xdr:rowOff>1672004</xdr:rowOff>
    </xdr:from>
    <xdr:to>
      <xdr:col>5</xdr:col>
      <xdr:colOff>487241</xdr:colOff>
      <xdr:row>69</xdr:row>
      <xdr:rowOff>1824404</xdr:rowOff>
    </xdr:to>
    <xdr:sp macro="" textlink="">
      <xdr:nvSpPr>
        <xdr:cNvPr id="411" name="Rectangle 410">
          <a:extLst>
            <a:ext uri="{FF2B5EF4-FFF2-40B4-BE49-F238E27FC236}">
              <a16:creationId xmlns:a16="http://schemas.microsoft.com/office/drawing/2014/main" id="{00000000-0008-0000-0700-00009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69</xdr:row>
      <xdr:rowOff>244719</xdr:rowOff>
    </xdr:from>
    <xdr:to>
      <xdr:col>5</xdr:col>
      <xdr:colOff>2380518</xdr:colOff>
      <xdr:row>69</xdr:row>
      <xdr:rowOff>397119</xdr:rowOff>
    </xdr:to>
    <xdr:sp macro="" textlink="">
      <xdr:nvSpPr>
        <xdr:cNvPr id="412" name="Rectangle 411">
          <a:extLst>
            <a:ext uri="{FF2B5EF4-FFF2-40B4-BE49-F238E27FC236}">
              <a16:creationId xmlns:a16="http://schemas.microsoft.com/office/drawing/2014/main" id="{00000000-0008-0000-0700-00009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69</xdr:row>
      <xdr:rowOff>1701311</xdr:rowOff>
    </xdr:from>
    <xdr:to>
      <xdr:col>5</xdr:col>
      <xdr:colOff>2372458</xdr:colOff>
      <xdr:row>69</xdr:row>
      <xdr:rowOff>1853711</xdr:rowOff>
    </xdr:to>
    <xdr:sp macro="" textlink="">
      <xdr:nvSpPr>
        <xdr:cNvPr id="413" name="Rectangle 412">
          <a:extLst>
            <a:ext uri="{FF2B5EF4-FFF2-40B4-BE49-F238E27FC236}">
              <a16:creationId xmlns:a16="http://schemas.microsoft.com/office/drawing/2014/main" id="{00000000-0008-0000-0700-00009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69</xdr:row>
      <xdr:rowOff>703385</xdr:rowOff>
    </xdr:from>
    <xdr:to>
      <xdr:col>5</xdr:col>
      <xdr:colOff>949935</xdr:colOff>
      <xdr:row>69</xdr:row>
      <xdr:rowOff>930519</xdr:rowOff>
    </xdr:to>
    <xdr:sp macro="" textlink="">
      <xdr:nvSpPr>
        <xdr:cNvPr id="414" name="Organigramme : Jonction de sommaire 413">
          <a:extLst>
            <a:ext uri="{FF2B5EF4-FFF2-40B4-BE49-F238E27FC236}">
              <a16:creationId xmlns:a16="http://schemas.microsoft.com/office/drawing/2014/main" id="{00000000-0008-0000-0700-00009E010000}"/>
            </a:ext>
          </a:extLst>
        </xdr:cNvPr>
        <xdr:cNvSpPr/>
      </xdr:nvSpPr>
      <xdr:spPr>
        <a:xfrm>
          <a:off x="11259648" y="955438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1749668</xdr:colOff>
      <xdr:row>69</xdr:row>
      <xdr:rowOff>710711</xdr:rowOff>
    </xdr:from>
    <xdr:to>
      <xdr:col>5</xdr:col>
      <xdr:colOff>1984130</xdr:colOff>
      <xdr:row>69</xdr:row>
      <xdr:rowOff>937845</xdr:rowOff>
    </xdr:to>
    <xdr:sp macro="" textlink="">
      <xdr:nvSpPr>
        <xdr:cNvPr id="415" name="Organigramme : Jonction de sommaire 414">
          <a:extLst>
            <a:ext uri="{FF2B5EF4-FFF2-40B4-BE49-F238E27FC236}">
              <a16:creationId xmlns:a16="http://schemas.microsoft.com/office/drawing/2014/main" id="{00000000-0008-0000-0700-00009F010000}"/>
            </a:ext>
          </a:extLst>
        </xdr:cNvPr>
        <xdr:cNvSpPr/>
      </xdr:nvSpPr>
      <xdr:spPr>
        <a:xfrm>
          <a:off x="12293843" y="9555113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69</xdr:row>
      <xdr:rowOff>1271099</xdr:rowOff>
    </xdr:from>
    <xdr:to>
      <xdr:col>5</xdr:col>
      <xdr:colOff>2301875</xdr:colOff>
      <xdr:row>69</xdr:row>
      <xdr:rowOff>1329714</xdr:rowOff>
    </xdr:to>
    <xdr:sp macro="" textlink="">
      <xdr:nvSpPr>
        <xdr:cNvPr id="419" name="Rectangle 418">
          <a:extLst>
            <a:ext uri="{FF2B5EF4-FFF2-40B4-BE49-F238E27FC236}">
              <a16:creationId xmlns:a16="http://schemas.microsoft.com/office/drawing/2014/main" id="{00000000-0008-0000-0700-0000A3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721090</xdr:colOff>
      <xdr:row>69</xdr:row>
      <xdr:rowOff>1187572</xdr:rowOff>
    </xdr:from>
    <xdr:to>
      <xdr:col>5</xdr:col>
      <xdr:colOff>955552</xdr:colOff>
      <xdr:row>69</xdr:row>
      <xdr:rowOff>1414706</xdr:rowOff>
    </xdr:to>
    <xdr:sp macro="" textlink="">
      <xdr:nvSpPr>
        <xdr:cNvPr id="420" name="Organigramme : Jonction de sommaire 419">
          <a:extLst>
            <a:ext uri="{FF2B5EF4-FFF2-40B4-BE49-F238E27FC236}">
              <a16:creationId xmlns:a16="http://schemas.microsoft.com/office/drawing/2014/main" id="{00000000-0008-0000-0700-0000A4010000}"/>
            </a:ext>
          </a:extLst>
        </xdr:cNvPr>
        <xdr:cNvSpPr/>
      </xdr:nvSpPr>
      <xdr:spPr>
        <a:xfrm>
          <a:off x="11265265" y="9602799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1764810</xdr:colOff>
      <xdr:row>69</xdr:row>
      <xdr:rowOff>1185373</xdr:rowOff>
    </xdr:from>
    <xdr:to>
      <xdr:col>5</xdr:col>
      <xdr:colOff>1999272</xdr:colOff>
      <xdr:row>69</xdr:row>
      <xdr:rowOff>1412507</xdr:rowOff>
    </xdr:to>
    <xdr:sp macro="" textlink="">
      <xdr:nvSpPr>
        <xdr:cNvPr id="421" name="Organigramme : Jonction de sommaire 420">
          <a:extLst>
            <a:ext uri="{FF2B5EF4-FFF2-40B4-BE49-F238E27FC236}">
              <a16:creationId xmlns:a16="http://schemas.microsoft.com/office/drawing/2014/main" id="{00000000-0008-0000-0700-0000A5010000}"/>
            </a:ext>
          </a:extLst>
        </xdr:cNvPr>
        <xdr:cNvSpPr/>
      </xdr:nvSpPr>
      <xdr:spPr>
        <a:xfrm>
          <a:off x="12308985" y="960257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70</xdr:row>
      <xdr:rowOff>262303</xdr:rowOff>
    </xdr:from>
    <xdr:to>
      <xdr:col>5</xdr:col>
      <xdr:colOff>493102</xdr:colOff>
      <xdr:row>70</xdr:row>
      <xdr:rowOff>414703</xdr:rowOff>
    </xdr:to>
    <xdr:sp macro="" textlink="">
      <xdr:nvSpPr>
        <xdr:cNvPr id="426" name="Rectangle 425">
          <a:extLst>
            <a:ext uri="{FF2B5EF4-FFF2-40B4-BE49-F238E27FC236}">
              <a16:creationId xmlns:a16="http://schemas.microsoft.com/office/drawing/2014/main" id="{00000000-0008-0000-0700-0000AA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70</xdr:row>
      <xdr:rowOff>1672004</xdr:rowOff>
    </xdr:from>
    <xdr:to>
      <xdr:col>5</xdr:col>
      <xdr:colOff>487241</xdr:colOff>
      <xdr:row>70</xdr:row>
      <xdr:rowOff>1824404</xdr:rowOff>
    </xdr:to>
    <xdr:sp macro="" textlink="">
      <xdr:nvSpPr>
        <xdr:cNvPr id="427" name="Rectangle 426">
          <a:extLst>
            <a:ext uri="{FF2B5EF4-FFF2-40B4-BE49-F238E27FC236}">
              <a16:creationId xmlns:a16="http://schemas.microsoft.com/office/drawing/2014/main" id="{00000000-0008-0000-0700-0000AB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70</xdr:row>
      <xdr:rowOff>244719</xdr:rowOff>
    </xdr:from>
    <xdr:to>
      <xdr:col>5</xdr:col>
      <xdr:colOff>2380518</xdr:colOff>
      <xdr:row>70</xdr:row>
      <xdr:rowOff>397119</xdr:rowOff>
    </xdr:to>
    <xdr:sp macro="" textlink="">
      <xdr:nvSpPr>
        <xdr:cNvPr id="428" name="Rectangle 427">
          <a:extLst>
            <a:ext uri="{FF2B5EF4-FFF2-40B4-BE49-F238E27FC236}">
              <a16:creationId xmlns:a16="http://schemas.microsoft.com/office/drawing/2014/main" id="{00000000-0008-0000-0700-0000AC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70</xdr:row>
      <xdr:rowOff>1701311</xdr:rowOff>
    </xdr:from>
    <xdr:to>
      <xdr:col>5</xdr:col>
      <xdr:colOff>2372458</xdr:colOff>
      <xdr:row>70</xdr:row>
      <xdr:rowOff>1853711</xdr:rowOff>
    </xdr:to>
    <xdr:sp macro="" textlink="">
      <xdr:nvSpPr>
        <xdr:cNvPr id="429" name="Rectangle 428">
          <a:extLst>
            <a:ext uri="{FF2B5EF4-FFF2-40B4-BE49-F238E27FC236}">
              <a16:creationId xmlns:a16="http://schemas.microsoft.com/office/drawing/2014/main" id="{00000000-0008-0000-0700-0000AD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70</xdr:row>
      <xdr:rowOff>786912</xdr:rowOff>
    </xdr:from>
    <xdr:to>
      <xdr:col>5</xdr:col>
      <xdr:colOff>2305783</xdr:colOff>
      <xdr:row>70</xdr:row>
      <xdr:rowOff>845527</xdr:rowOff>
    </xdr:to>
    <xdr:sp macro="" textlink="">
      <xdr:nvSpPr>
        <xdr:cNvPr id="430" name="Rectangle 429">
          <a:extLst>
            <a:ext uri="{FF2B5EF4-FFF2-40B4-BE49-F238E27FC236}">
              <a16:creationId xmlns:a16="http://schemas.microsoft.com/office/drawing/2014/main" id="{00000000-0008-0000-0700-0000AE010000}"/>
            </a:ext>
          </a:extLst>
        </xdr:cNvPr>
        <xdr:cNvSpPr/>
      </xdr:nvSpPr>
      <xdr:spPr>
        <a:xfrm>
          <a:off x="10941783" y="938779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70</xdr:row>
      <xdr:rowOff>262303</xdr:rowOff>
    </xdr:from>
    <xdr:to>
      <xdr:col>5</xdr:col>
      <xdr:colOff>493102</xdr:colOff>
      <xdr:row>70</xdr:row>
      <xdr:rowOff>414703</xdr:rowOff>
    </xdr:to>
    <xdr:sp macro="" textlink="">
      <xdr:nvSpPr>
        <xdr:cNvPr id="434" name="Rectangle 433">
          <a:extLst>
            <a:ext uri="{FF2B5EF4-FFF2-40B4-BE49-F238E27FC236}">
              <a16:creationId xmlns:a16="http://schemas.microsoft.com/office/drawing/2014/main" id="{00000000-0008-0000-0700-0000B2010000}"/>
            </a:ext>
          </a:extLst>
        </xdr:cNvPr>
        <xdr:cNvSpPr/>
      </xdr:nvSpPr>
      <xdr:spPr>
        <a:xfrm>
          <a:off x="10881702" y="933533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70</xdr:row>
      <xdr:rowOff>1672004</xdr:rowOff>
    </xdr:from>
    <xdr:to>
      <xdr:col>5</xdr:col>
      <xdr:colOff>487241</xdr:colOff>
      <xdr:row>70</xdr:row>
      <xdr:rowOff>1824404</xdr:rowOff>
    </xdr:to>
    <xdr:sp macro="" textlink="">
      <xdr:nvSpPr>
        <xdr:cNvPr id="435" name="Rectangle 434">
          <a:extLst>
            <a:ext uri="{FF2B5EF4-FFF2-40B4-BE49-F238E27FC236}">
              <a16:creationId xmlns:a16="http://schemas.microsoft.com/office/drawing/2014/main" id="{00000000-0008-0000-0700-0000B3010000}"/>
            </a:ext>
          </a:extLst>
        </xdr:cNvPr>
        <xdr:cNvSpPr/>
      </xdr:nvSpPr>
      <xdr:spPr>
        <a:xfrm>
          <a:off x="10875841" y="947630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70</xdr:row>
      <xdr:rowOff>244719</xdr:rowOff>
    </xdr:from>
    <xdr:to>
      <xdr:col>5</xdr:col>
      <xdr:colOff>2380518</xdr:colOff>
      <xdr:row>70</xdr:row>
      <xdr:rowOff>397119</xdr:rowOff>
    </xdr:to>
    <xdr:sp macro="" textlink="">
      <xdr:nvSpPr>
        <xdr:cNvPr id="436" name="Rectangle 435">
          <a:extLst>
            <a:ext uri="{FF2B5EF4-FFF2-40B4-BE49-F238E27FC236}">
              <a16:creationId xmlns:a16="http://schemas.microsoft.com/office/drawing/2014/main" id="{00000000-0008-0000-0700-0000B4010000}"/>
            </a:ext>
          </a:extLst>
        </xdr:cNvPr>
        <xdr:cNvSpPr/>
      </xdr:nvSpPr>
      <xdr:spPr>
        <a:xfrm>
          <a:off x="12769118" y="933357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70</xdr:row>
      <xdr:rowOff>1701311</xdr:rowOff>
    </xdr:from>
    <xdr:to>
      <xdr:col>5</xdr:col>
      <xdr:colOff>2372458</xdr:colOff>
      <xdr:row>70</xdr:row>
      <xdr:rowOff>1853711</xdr:rowOff>
    </xdr:to>
    <xdr:sp macro="" textlink="">
      <xdr:nvSpPr>
        <xdr:cNvPr id="437" name="Rectangle 436">
          <a:extLst>
            <a:ext uri="{FF2B5EF4-FFF2-40B4-BE49-F238E27FC236}">
              <a16:creationId xmlns:a16="http://schemas.microsoft.com/office/drawing/2014/main" id="{00000000-0008-0000-0700-0000B5010000}"/>
            </a:ext>
          </a:extLst>
        </xdr:cNvPr>
        <xdr:cNvSpPr/>
      </xdr:nvSpPr>
      <xdr:spPr>
        <a:xfrm>
          <a:off x="12761058" y="947923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70</xdr:row>
      <xdr:rowOff>703385</xdr:rowOff>
    </xdr:from>
    <xdr:to>
      <xdr:col>5</xdr:col>
      <xdr:colOff>826110</xdr:colOff>
      <xdr:row>70</xdr:row>
      <xdr:rowOff>930519</xdr:rowOff>
    </xdr:to>
    <xdr:sp macro="" textlink="">
      <xdr:nvSpPr>
        <xdr:cNvPr id="438" name="Organigramme : Jonction de sommaire 437">
          <a:extLst>
            <a:ext uri="{FF2B5EF4-FFF2-40B4-BE49-F238E27FC236}">
              <a16:creationId xmlns:a16="http://schemas.microsoft.com/office/drawing/2014/main" id="{00000000-0008-0000-0700-0000B6010000}"/>
            </a:ext>
          </a:extLst>
        </xdr:cNvPr>
        <xdr:cNvSpPr/>
      </xdr:nvSpPr>
      <xdr:spPr>
        <a:xfrm>
          <a:off x="11132648" y="937943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70</xdr:row>
      <xdr:rowOff>710711</xdr:rowOff>
    </xdr:from>
    <xdr:to>
      <xdr:col>5</xdr:col>
      <xdr:colOff>2117480</xdr:colOff>
      <xdr:row>70</xdr:row>
      <xdr:rowOff>937845</xdr:rowOff>
    </xdr:to>
    <xdr:sp macro="" textlink="">
      <xdr:nvSpPr>
        <xdr:cNvPr id="439" name="Organigramme : Jonction de sommaire 438">
          <a:extLst>
            <a:ext uri="{FF2B5EF4-FFF2-40B4-BE49-F238E27FC236}">
              <a16:creationId xmlns:a16="http://schemas.microsoft.com/office/drawing/2014/main" id="{00000000-0008-0000-0700-0000B7010000}"/>
            </a:ext>
          </a:extLst>
        </xdr:cNvPr>
        <xdr:cNvSpPr/>
      </xdr:nvSpPr>
      <xdr:spPr>
        <a:xfrm>
          <a:off x="12424018" y="938017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70</xdr:row>
      <xdr:rowOff>690563</xdr:rowOff>
    </xdr:from>
    <xdr:to>
      <xdr:col>5</xdr:col>
      <xdr:colOff>1246493</xdr:colOff>
      <xdr:row>70</xdr:row>
      <xdr:rowOff>917697</xdr:rowOff>
    </xdr:to>
    <xdr:sp macro="" textlink="">
      <xdr:nvSpPr>
        <xdr:cNvPr id="440" name="Organigramme : Jonction de sommaire 439">
          <a:extLst>
            <a:ext uri="{FF2B5EF4-FFF2-40B4-BE49-F238E27FC236}">
              <a16:creationId xmlns:a16="http://schemas.microsoft.com/office/drawing/2014/main" id="{00000000-0008-0000-0700-0000B8010000}"/>
            </a:ext>
          </a:extLst>
        </xdr:cNvPr>
        <xdr:cNvSpPr/>
      </xdr:nvSpPr>
      <xdr:spPr>
        <a:xfrm>
          <a:off x="11553031" y="937815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70</xdr:row>
      <xdr:rowOff>702468</xdr:rowOff>
    </xdr:from>
    <xdr:to>
      <xdr:col>5</xdr:col>
      <xdr:colOff>1687024</xdr:colOff>
      <xdr:row>70</xdr:row>
      <xdr:rowOff>929602</xdr:rowOff>
    </xdr:to>
    <xdr:sp macro="" textlink="">
      <xdr:nvSpPr>
        <xdr:cNvPr id="441" name="Organigramme : Jonction de sommaire 440">
          <a:extLst>
            <a:ext uri="{FF2B5EF4-FFF2-40B4-BE49-F238E27FC236}">
              <a16:creationId xmlns:a16="http://schemas.microsoft.com/office/drawing/2014/main" id="{00000000-0008-0000-0700-0000B9010000}"/>
            </a:ext>
          </a:extLst>
        </xdr:cNvPr>
        <xdr:cNvSpPr/>
      </xdr:nvSpPr>
      <xdr:spPr>
        <a:xfrm>
          <a:off x="11993562" y="937934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70</xdr:row>
      <xdr:rowOff>1271099</xdr:rowOff>
    </xdr:from>
    <xdr:to>
      <xdr:col>5</xdr:col>
      <xdr:colOff>2301875</xdr:colOff>
      <xdr:row>70</xdr:row>
      <xdr:rowOff>1329714</xdr:rowOff>
    </xdr:to>
    <xdr:sp macro="" textlink="">
      <xdr:nvSpPr>
        <xdr:cNvPr id="443" name="Rectangle 442">
          <a:extLst>
            <a:ext uri="{FF2B5EF4-FFF2-40B4-BE49-F238E27FC236}">
              <a16:creationId xmlns:a16="http://schemas.microsoft.com/office/drawing/2014/main" id="{00000000-0008-0000-0700-0000BB010000}"/>
            </a:ext>
          </a:extLst>
        </xdr:cNvPr>
        <xdr:cNvSpPr/>
      </xdr:nvSpPr>
      <xdr:spPr>
        <a:xfrm>
          <a:off x="10937875" y="943620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70</xdr:row>
      <xdr:rowOff>1187572</xdr:rowOff>
    </xdr:from>
    <xdr:to>
      <xdr:col>5</xdr:col>
      <xdr:colOff>822202</xdr:colOff>
      <xdr:row>70</xdr:row>
      <xdr:rowOff>1414706</xdr:rowOff>
    </xdr:to>
    <xdr:sp macro="" textlink="">
      <xdr:nvSpPr>
        <xdr:cNvPr id="444" name="Organigramme : Jonction de sommaire 443">
          <a:extLst>
            <a:ext uri="{FF2B5EF4-FFF2-40B4-BE49-F238E27FC236}">
              <a16:creationId xmlns:a16="http://schemas.microsoft.com/office/drawing/2014/main" id="{00000000-0008-0000-0700-0000BC010000}"/>
            </a:ext>
          </a:extLst>
        </xdr:cNvPr>
        <xdr:cNvSpPr/>
      </xdr:nvSpPr>
      <xdr:spPr>
        <a:xfrm>
          <a:off x="11128740" y="942785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70</xdr:row>
      <xdr:rowOff>1194898</xdr:rowOff>
    </xdr:from>
    <xdr:to>
      <xdr:col>5</xdr:col>
      <xdr:colOff>2113572</xdr:colOff>
      <xdr:row>70</xdr:row>
      <xdr:rowOff>1422032</xdr:rowOff>
    </xdr:to>
    <xdr:sp macro="" textlink="">
      <xdr:nvSpPr>
        <xdr:cNvPr id="445" name="Organigramme : Jonction de sommaire 444">
          <a:extLst>
            <a:ext uri="{FF2B5EF4-FFF2-40B4-BE49-F238E27FC236}">
              <a16:creationId xmlns:a16="http://schemas.microsoft.com/office/drawing/2014/main" id="{00000000-0008-0000-0700-0000BD010000}"/>
            </a:ext>
          </a:extLst>
        </xdr:cNvPr>
        <xdr:cNvSpPr/>
      </xdr:nvSpPr>
      <xdr:spPr>
        <a:xfrm>
          <a:off x="12420110" y="942858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70</xdr:row>
      <xdr:rowOff>1174750</xdr:rowOff>
    </xdr:from>
    <xdr:to>
      <xdr:col>5</xdr:col>
      <xdr:colOff>1242585</xdr:colOff>
      <xdr:row>70</xdr:row>
      <xdr:rowOff>1401884</xdr:rowOff>
    </xdr:to>
    <xdr:sp macro="" textlink="">
      <xdr:nvSpPr>
        <xdr:cNvPr id="446" name="Organigramme : Jonction de sommaire 445">
          <a:extLst>
            <a:ext uri="{FF2B5EF4-FFF2-40B4-BE49-F238E27FC236}">
              <a16:creationId xmlns:a16="http://schemas.microsoft.com/office/drawing/2014/main" id="{00000000-0008-0000-0700-0000BE010000}"/>
            </a:ext>
          </a:extLst>
        </xdr:cNvPr>
        <xdr:cNvSpPr/>
      </xdr:nvSpPr>
      <xdr:spPr>
        <a:xfrm>
          <a:off x="11549123" y="942657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70</xdr:row>
      <xdr:rowOff>1186655</xdr:rowOff>
    </xdr:from>
    <xdr:to>
      <xdr:col>5</xdr:col>
      <xdr:colOff>1683116</xdr:colOff>
      <xdr:row>70</xdr:row>
      <xdr:rowOff>1413789</xdr:rowOff>
    </xdr:to>
    <xdr:sp macro="" textlink="">
      <xdr:nvSpPr>
        <xdr:cNvPr id="447" name="Organigramme : Jonction de sommaire 446">
          <a:extLst>
            <a:ext uri="{FF2B5EF4-FFF2-40B4-BE49-F238E27FC236}">
              <a16:creationId xmlns:a16="http://schemas.microsoft.com/office/drawing/2014/main" id="{00000000-0008-0000-0700-0000BF010000}"/>
            </a:ext>
          </a:extLst>
        </xdr:cNvPr>
        <xdr:cNvSpPr/>
      </xdr:nvSpPr>
      <xdr:spPr>
        <a:xfrm>
          <a:off x="11989654" y="9427765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71</xdr:row>
      <xdr:rowOff>262303</xdr:rowOff>
    </xdr:from>
    <xdr:to>
      <xdr:col>5</xdr:col>
      <xdr:colOff>493102</xdr:colOff>
      <xdr:row>71</xdr:row>
      <xdr:rowOff>414703</xdr:rowOff>
    </xdr:to>
    <xdr:sp macro="" textlink="">
      <xdr:nvSpPr>
        <xdr:cNvPr id="520" name="Rectangle 519">
          <a:extLst>
            <a:ext uri="{FF2B5EF4-FFF2-40B4-BE49-F238E27FC236}">
              <a16:creationId xmlns:a16="http://schemas.microsoft.com/office/drawing/2014/main" id="{00000000-0008-0000-0700-000008020000}"/>
            </a:ext>
          </a:extLst>
        </xdr:cNvPr>
        <xdr:cNvSpPr/>
      </xdr:nvSpPr>
      <xdr:spPr>
        <a:xfrm>
          <a:off x="10889640" y="93178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71</xdr:row>
      <xdr:rowOff>1672004</xdr:rowOff>
    </xdr:from>
    <xdr:to>
      <xdr:col>5</xdr:col>
      <xdr:colOff>487241</xdr:colOff>
      <xdr:row>71</xdr:row>
      <xdr:rowOff>1824404</xdr:rowOff>
    </xdr:to>
    <xdr:sp macro="" textlink="">
      <xdr:nvSpPr>
        <xdr:cNvPr id="521" name="Rectangle 520">
          <a:extLst>
            <a:ext uri="{FF2B5EF4-FFF2-40B4-BE49-F238E27FC236}">
              <a16:creationId xmlns:a16="http://schemas.microsoft.com/office/drawing/2014/main" id="{00000000-0008-0000-0700-000009020000}"/>
            </a:ext>
          </a:extLst>
        </xdr:cNvPr>
        <xdr:cNvSpPr/>
      </xdr:nvSpPr>
      <xdr:spPr>
        <a:xfrm>
          <a:off x="10883779" y="945883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71</xdr:row>
      <xdr:rowOff>244719</xdr:rowOff>
    </xdr:from>
    <xdr:to>
      <xdr:col>5</xdr:col>
      <xdr:colOff>2380518</xdr:colOff>
      <xdr:row>71</xdr:row>
      <xdr:rowOff>397119</xdr:rowOff>
    </xdr:to>
    <xdr:sp macro="" textlink="">
      <xdr:nvSpPr>
        <xdr:cNvPr id="522" name="Rectangle 521">
          <a:extLst>
            <a:ext uri="{FF2B5EF4-FFF2-40B4-BE49-F238E27FC236}">
              <a16:creationId xmlns:a16="http://schemas.microsoft.com/office/drawing/2014/main" id="{00000000-0008-0000-0700-00000A020000}"/>
            </a:ext>
          </a:extLst>
        </xdr:cNvPr>
        <xdr:cNvSpPr/>
      </xdr:nvSpPr>
      <xdr:spPr>
        <a:xfrm>
          <a:off x="12777056" y="93161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71</xdr:row>
      <xdr:rowOff>1701311</xdr:rowOff>
    </xdr:from>
    <xdr:to>
      <xdr:col>5</xdr:col>
      <xdr:colOff>2372458</xdr:colOff>
      <xdr:row>71</xdr:row>
      <xdr:rowOff>1853711</xdr:rowOff>
    </xdr:to>
    <xdr:sp macro="" textlink="">
      <xdr:nvSpPr>
        <xdr:cNvPr id="523" name="Rectangle 522">
          <a:extLst>
            <a:ext uri="{FF2B5EF4-FFF2-40B4-BE49-F238E27FC236}">
              <a16:creationId xmlns:a16="http://schemas.microsoft.com/office/drawing/2014/main" id="{00000000-0008-0000-0700-00000B020000}"/>
            </a:ext>
          </a:extLst>
        </xdr:cNvPr>
        <xdr:cNvSpPr/>
      </xdr:nvSpPr>
      <xdr:spPr>
        <a:xfrm>
          <a:off x="12768996" y="94617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71</xdr:row>
      <xdr:rowOff>786912</xdr:rowOff>
    </xdr:from>
    <xdr:to>
      <xdr:col>5</xdr:col>
      <xdr:colOff>2305783</xdr:colOff>
      <xdr:row>71</xdr:row>
      <xdr:rowOff>845527</xdr:rowOff>
    </xdr:to>
    <xdr:sp macro="" textlink="">
      <xdr:nvSpPr>
        <xdr:cNvPr id="524" name="Rectangle 523">
          <a:extLst>
            <a:ext uri="{FF2B5EF4-FFF2-40B4-BE49-F238E27FC236}">
              <a16:creationId xmlns:a16="http://schemas.microsoft.com/office/drawing/2014/main" id="{00000000-0008-0000-0700-00000C020000}"/>
            </a:ext>
          </a:extLst>
        </xdr:cNvPr>
        <xdr:cNvSpPr/>
      </xdr:nvSpPr>
      <xdr:spPr>
        <a:xfrm>
          <a:off x="10949721" y="9370328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71</xdr:row>
      <xdr:rowOff>262303</xdr:rowOff>
    </xdr:from>
    <xdr:to>
      <xdr:col>5</xdr:col>
      <xdr:colOff>493102</xdr:colOff>
      <xdr:row>71</xdr:row>
      <xdr:rowOff>414703</xdr:rowOff>
    </xdr:to>
    <xdr:sp macro="" textlink="">
      <xdr:nvSpPr>
        <xdr:cNvPr id="525" name="Rectangle 524">
          <a:extLst>
            <a:ext uri="{FF2B5EF4-FFF2-40B4-BE49-F238E27FC236}">
              <a16:creationId xmlns:a16="http://schemas.microsoft.com/office/drawing/2014/main" id="{00000000-0008-0000-0700-00000D020000}"/>
            </a:ext>
          </a:extLst>
        </xdr:cNvPr>
        <xdr:cNvSpPr/>
      </xdr:nvSpPr>
      <xdr:spPr>
        <a:xfrm>
          <a:off x="10889640" y="9317867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71</xdr:row>
      <xdr:rowOff>1672004</xdr:rowOff>
    </xdr:from>
    <xdr:to>
      <xdr:col>5</xdr:col>
      <xdr:colOff>487241</xdr:colOff>
      <xdr:row>71</xdr:row>
      <xdr:rowOff>1824404</xdr:rowOff>
    </xdr:to>
    <xdr:sp macro="" textlink="">
      <xdr:nvSpPr>
        <xdr:cNvPr id="526" name="Rectangle 525">
          <a:extLst>
            <a:ext uri="{FF2B5EF4-FFF2-40B4-BE49-F238E27FC236}">
              <a16:creationId xmlns:a16="http://schemas.microsoft.com/office/drawing/2014/main" id="{00000000-0008-0000-0700-00000E020000}"/>
            </a:ext>
          </a:extLst>
        </xdr:cNvPr>
        <xdr:cNvSpPr/>
      </xdr:nvSpPr>
      <xdr:spPr>
        <a:xfrm>
          <a:off x="10883779" y="9458837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71</xdr:row>
      <xdr:rowOff>244719</xdr:rowOff>
    </xdr:from>
    <xdr:to>
      <xdr:col>5</xdr:col>
      <xdr:colOff>2380518</xdr:colOff>
      <xdr:row>71</xdr:row>
      <xdr:rowOff>397119</xdr:rowOff>
    </xdr:to>
    <xdr:sp macro="" textlink="">
      <xdr:nvSpPr>
        <xdr:cNvPr id="527" name="Rectangle 526">
          <a:extLst>
            <a:ext uri="{FF2B5EF4-FFF2-40B4-BE49-F238E27FC236}">
              <a16:creationId xmlns:a16="http://schemas.microsoft.com/office/drawing/2014/main" id="{00000000-0008-0000-0700-00000F020000}"/>
            </a:ext>
          </a:extLst>
        </xdr:cNvPr>
        <xdr:cNvSpPr/>
      </xdr:nvSpPr>
      <xdr:spPr>
        <a:xfrm>
          <a:off x="12777056" y="9316109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71</xdr:row>
      <xdr:rowOff>1701311</xdr:rowOff>
    </xdr:from>
    <xdr:to>
      <xdr:col>5</xdr:col>
      <xdr:colOff>2372458</xdr:colOff>
      <xdr:row>71</xdr:row>
      <xdr:rowOff>1853711</xdr:rowOff>
    </xdr:to>
    <xdr:sp macro="" textlink="">
      <xdr:nvSpPr>
        <xdr:cNvPr id="528" name="Rectangle 527">
          <a:extLst>
            <a:ext uri="{FF2B5EF4-FFF2-40B4-BE49-F238E27FC236}">
              <a16:creationId xmlns:a16="http://schemas.microsoft.com/office/drawing/2014/main" id="{00000000-0008-0000-0700-000010020000}"/>
            </a:ext>
          </a:extLst>
        </xdr:cNvPr>
        <xdr:cNvSpPr/>
      </xdr:nvSpPr>
      <xdr:spPr>
        <a:xfrm>
          <a:off x="12768996" y="94617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71</xdr:row>
      <xdr:rowOff>1271099</xdr:rowOff>
    </xdr:from>
    <xdr:to>
      <xdr:col>5</xdr:col>
      <xdr:colOff>2301875</xdr:colOff>
      <xdr:row>71</xdr:row>
      <xdr:rowOff>1329714</xdr:rowOff>
    </xdr:to>
    <xdr:sp macro="" textlink="">
      <xdr:nvSpPr>
        <xdr:cNvPr id="529" name="Rectangle 528">
          <a:extLst>
            <a:ext uri="{FF2B5EF4-FFF2-40B4-BE49-F238E27FC236}">
              <a16:creationId xmlns:a16="http://schemas.microsoft.com/office/drawing/2014/main" id="{00000000-0008-0000-0700-000011020000}"/>
            </a:ext>
          </a:extLst>
        </xdr:cNvPr>
        <xdr:cNvSpPr/>
      </xdr:nvSpPr>
      <xdr:spPr>
        <a:xfrm>
          <a:off x="10945813" y="9418747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72</xdr:row>
      <xdr:rowOff>262303</xdr:rowOff>
    </xdr:from>
    <xdr:to>
      <xdr:col>5</xdr:col>
      <xdr:colOff>493102</xdr:colOff>
      <xdr:row>72</xdr:row>
      <xdr:rowOff>414703</xdr:rowOff>
    </xdr:to>
    <xdr:sp macro="" textlink="">
      <xdr:nvSpPr>
        <xdr:cNvPr id="532" name="Rectangle 531">
          <a:extLst>
            <a:ext uri="{FF2B5EF4-FFF2-40B4-BE49-F238E27FC236}">
              <a16:creationId xmlns:a16="http://schemas.microsoft.com/office/drawing/2014/main" id="{00000000-0008-0000-0700-000014020000}"/>
            </a:ext>
          </a:extLst>
        </xdr:cNvPr>
        <xdr:cNvSpPr/>
      </xdr:nvSpPr>
      <xdr:spPr>
        <a:xfrm>
          <a:off x="10889640" y="9520274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72</xdr:row>
      <xdr:rowOff>1672004</xdr:rowOff>
    </xdr:from>
    <xdr:to>
      <xdr:col>5</xdr:col>
      <xdr:colOff>487241</xdr:colOff>
      <xdr:row>72</xdr:row>
      <xdr:rowOff>1824404</xdr:rowOff>
    </xdr:to>
    <xdr:sp macro="" textlink="">
      <xdr:nvSpPr>
        <xdr:cNvPr id="533" name="Rectangle 532">
          <a:extLst>
            <a:ext uri="{FF2B5EF4-FFF2-40B4-BE49-F238E27FC236}">
              <a16:creationId xmlns:a16="http://schemas.microsoft.com/office/drawing/2014/main" id="{00000000-0008-0000-0700-000015020000}"/>
            </a:ext>
          </a:extLst>
        </xdr:cNvPr>
        <xdr:cNvSpPr/>
      </xdr:nvSpPr>
      <xdr:spPr>
        <a:xfrm>
          <a:off x="10883779" y="966124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72</xdr:row>
      <xdr:rowOff>244719</xdr:rowOff>
    </xdr:from>
    <xdr:to>
      <xdr:col>5</xdr:col>
      <xdr:colOff>2380518</xdr:colOff>
      <xdr:row>72</xdr:row>
      <xdr:rowOff>397119</xdr:rowOff>
    </xdr:to>
    <xdr:sp macro="" textlink="">
      <xdr:nvSpPr>
        <xdr:cNvPr id="534" name="Rectangle 533">
          <a:extLst>
            <a:ext uri="{FF2B5EF4-FFF2-40B4-BE49-F238E27FC236}">
              <a16:creationId xmlns:a16="http://schemas.microsoft.com/office/drawing/2014/main" id="{00000000-0008-0000-0700-000016020000}"/>
            </a:ext>
          </a:extLst>
        </xdr:cNvPr>
        <xdr:cNvSpPr/>
      </xdr:nvSpPr>
      <xdr:spPr>
        <a:xfrm>
          <a:off x="12777056" y="9518515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72</xdr:row>
      <xdr:rowOff>1701311</xdr:rowOff>
    </xdr:from>
    <xdr:to>
      <xdr:col>5</xdr:col>
      <xdr:colOff>2372458</xdr:colOff>
      <xdr:row>72</xdr:row>
      <xdr:rowOff>1853711</xdr:rowOff>
    </xdr:to>
    <xdr:sp macro="" textlink="">
      <xdr:nvSpPr>
        <xdr:cNvPr id="535" name="Rectangle 534">
          <a:extLst>
            <a:ext uri="{FF2B5EF4-FFF2-40B4-BE49-F238E27FC236}">
              <a16:creationId xmlns:a16="http://schemas.microsoft.com/office/drawing/2014/main" id="{00000000-0008-0000-0700-000017020000}"/>
            </a:ext>
          </a:extLst>
        </xdr:cNvPr>
        <xdr:cNvSpPr/>
      </xdr:nvSpPr>
      <xdr:spPr>
        <a:xfrm>
          <a:off x="12768996" y="9664174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72</xdr:row>
      <xdr:rowOff>786912</xdr:rowOff>
    </xdr:from>
    <xdr:to>
      <xdr:col>5</xdr:col>
      <xdr:colOff>2305783</xdr:colOff>
      <xdr:row>72</xdr:row>
      <xdr:rowOff>845527</xdr:rowOff>
    </xdr:to>
    <xdr:sp macro="" textlink="">
      <xdr:nvSpPr>
        <xdr:cNvPr id="536" name="Rectangle 535">
          <a:extLst>
            <a:ext uri="{FF2B5EF4-FFF2-40B4-BE49-F238E27FC236}">
              <a16:creationId xmlns:a16="http://schemas.microsoft.com/office/drawing/2014/main" id="{00000000-0008-0000-0700-000018020000}"/>
            </a:ext>
          </a:extLst>
        </xdr:cNvPr>
        <xdr:cNvSpPr/>
      </xdr:nvSpPr>
      <xdr:spPr>
        <a:xfrm>
          <a:off x="10949721" y="9572735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72</xdr:row>
      <xdr:rowOff>262303</xdr:rowOff>
    </xdr:from>
    <xdr:to>
      <xdr:col>5</xdr:col>
      <xdr:colOff>493102</xdr:colOff>
      <xdr:row>72</xdr:row>
      <xdr:rowOff>414703</xdr:rowOff>
    </xdr:to>
    <xdr:sp macro="" textlink="">
      <xdr:nvSpPr>
        <xdr:cNvPr id="537" name="Rectangle 536">
          <a:extLst>
            <a:ext uri="{FF2B5EF4-FFF2-40B4-BE49-F238E27FC236}">
              <a16:creationId xmlns:a16="http://schemas.microsoft.com/office/drawing/2014/main" id="{00000000-0008-0000-0700-000019020000}"/>
            </a:ext>
          </a:extLst>
        </xdr:cNvPr>
        <xdr:cNvSpPr/>
      </xdr:nvSpPr>
      <xdr:spPr>
        <a:xfrm>
          <a:off x="10889640" y="9520274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72</xdr:row>
      <xdr:rowOff>1672004</xdr:rowOff>
    </xdr:from>
    <xdr:to>
      <xdr:col>5</xdr:col>
      <xdr:colOff>487241</xdr:colOff>
      <xdr:row>72</xdr:row>
      <xdr:rowOff>1824404</xdr:rowOff>
    </xdr:to>
    <xdr:sp macro="" textlink="">
      <xdr:nvSpPr>
        <xdr:cNvPr id="538" name="Rectangle 537">
          <a:extLst>
            <a:ext uri="{FF2B5EF4-FFF2-40B4-BE49-F238E27FC236}">
              <a16:creationId xmlns:a16="http://schemas.microsoft.com/office/drawing/2014/main" id="{00000000-0008-0000-0700-00001A020000}"/>
            </a:ext>
          </a:extLst>
        </xdr:cNvPr>
        <xdr:cNvSpPr/>
      </xdr:nvSpPr>
      <xdr:spPr>
        <a:xfrm>
          <a:off x="10883779" y="966124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72</xdr:row>
      <xdr:rowOff>244719</xdr:rowOff>
    </xdr:from>
    <xdr:to>
      <xdr:col>5</xdr:col>
      <xdr:colOff>2380518</xdr:colOff>
      <xdr:row>72</xdr:row>
      <xdr:rowOff>397119</xdr:rowOff>
    </xdr:to>
    <xdr:sp macro="" textlink="">
      <xdr:nvSpPr>
        <xdr:cNvPr id="539" name="Rectangle 538">
          <a:extLst>
            <a:ext uri="{FF2B5EF4-FFF2-40B4-BE49-F238E27FC236}">
              <a16:creationId xmlns:a16="http://schemas.microsoft.com/office/drawing/2014/main" id="{00000000-0008-0000-0700-00001B020000}"/>
            </a:ext>
          </a:extLst>
        </xdr:cNvPr>
        <xdr:cNvSpPr/>
      </xdr:nvSpPr>
      <xdr:spPr>
        <a:xfrm>
          <a:off x="12777056" y="9518515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72</xdr:row>
      <xdr:rowOff>1701311</xdr:rowOff>
    </xdr:from>
    <xdr:to>
      <xdr:col>5</xdr:col>
      <xdr:colOff>2372458</xdr:colOff>
      <xdr:row>72</xdr:row>
      <xdr:rowOff>1853711</xdr:rowOff>
    </xdr:to>
    <xdr:sp macro="" textlink="">
      <xdr:nvSpPr>
        <xdr:cNvPr id="540" name="Rectangle 539">
          <a:extLst>
            <a:ext uri="{FF2B5EF4-FFF2-40B4-BE49-F238E27FC236}">
              <a16:creationId xmlns:a16="http://schemas.microsoft.com/office/drawing/2014/main" id="{00000000-0008-0000-0700-00001C020000}"/>
            </a:ext>
          </a:extLst>
        </xdr:cNvPr>
        <xdr:cNvSpPr/>
      </xdr:nvSpPr>
      <xdr:spPr>
        <a:xfrm>
          <a:off x="12768996" y="9664174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715473</xdr:colOff>
      <xdr:row>72</xdr:row>
      <xdr:rowOff>703385</xdr:rowOff>
    </xdr:from>
    <xdr:to>
      <xdr:col>5</xdr:col>
      <xdr:colOff>949935</xdr:colOff>
      <xdr:row>72</xdr:row>
      <xdr:rowOff>930519</xdr:rowOff>
    </xdr:to>
    <xdr:sp macro="" textlink="">
      <xdr:nvSpPr>
        <xdr:cNvPr id="541" name="Organigramme : Jonction de sommaire 540">
          <a:extLst>
            <a:ext uri="{FF2B5EF4-FFF2-40B4-BE49-F238E27FC236}">
              <a16:creationId xmlns:a16="http://schemas.microsoft.com/office/drawing/2014/main" id="{00000000-0008-0000-0700-00001D020000}"/>
            </a:ext>
          </a:extLst>
        </xdr:cNvPr>
        <xdr:cNvSpPr/>
      </xdr:nvSpPr>
      <xdr:spPr>
        <a:xfrm>
          <a:off x="11264411" y="9564382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1749668</xdr:colOff>
      <xdr:row>72</xdr:row>
      <xdr:rowOff>710711</xdr:rowOff>
    </xdr:from>
    <xdr:to>
      <xdr:col>5</xdr:col>
      <xdr:colOff>1984130</xdr:colOff>
      <xdr:row>72</xdr:row>
      <xdr:rowOff>937845</xdr:rowOff>
    </xdr:to>
    <xdr:sp macro="" textlink="">
      <xdr:nvSpPr>
        <xdr:cNvPr id="542" name="Organigramme : Jonction de sommaire 541">
          <a:extLst>
            <a:ext uri="{FF2B5EF4-FFF2-40B4-BE49-F238E27FC236}">
              <a16:creationId xmlns:a16="http://schemas.microsoft.com/office/drawing/2014/main" id="{00000000-0008-0000-0700-00001E020000}"/>
            </a:ext>
          </a:extLst>
        </xdr:cNvPr>
        <xdr:cNvSpPr/>
      </xdr:nvSpPr>
      <xdr:spPr>
        <a:xfrm>
          <a:off x="12298606" y="9565114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72</xdr:row>
      <xdr:rowOff>1271099</xdr:rowOff>
    </xdr:from>
    <xdr:to>
      <xdr:col>5</xdr:col>
      <xdr:colOff>2301875</xdr:colOff>
      <xdr:row>72</xdr:row>
      <xdr:rowOff>1329714</xdr:rowOff>
    </xdr:to>
    <xdr:sp macro="" textlink="">
      <xdr:nvSpPr>
        <xdr:cNvPr id="543" name="Rectangle 542">
          <a:extLst>
            <a:ext uri="{FF2B5EF4-FFF2-40B4-BE49-F238E27FC236}">
              <a16:creationId xmlns:a16="http://schemas.microsoft.com/office/drawing/2014/main" id="{00000000-0008-0000-0700-00001F020000}"/>
            </a:ext>
          </a:extLst>
        </xdr:cNvPr>
        <xdr:cNvSpPr/>
      </xdr:nvSpPr>
      <xdr:spPr>
        <a:xfrm>
          <a:off x="10945813" y="9621153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721090</xdr:colOff>
      <xdr:row>72</xdr:row>
      <xdr:rowOff>1187572</xdr:rowOff>
    </xdr:from>
    <xdr:to>
      <xdr:col>5</xdr:col>
      <xdr:colOff>955552</xdr:colOff>
      <xdr:row>72</xdr:row>
      <xdr:rowOff>1414706</xdr:rowOff>
    </xdr:to>
    <xdr:sp macro="" textlink="">
      <xdr:nvSpPr>
        <xdr:cNvPr id="544" name="Organigramme : Jonction de sommaire 543">
          <a:extLst>
            <a:ext uri="{FF2B5EF4-FFF2-40B4-BE49-F238E27FC236}">
              <a16:creationId xmlns:a16="http://schemas.microsoft.com/office/drawing/2014/main" id="{00000000-0008-0000-0700-000020020000}"/>
            </a:ext>
          </a:extLst>
        </xdr:cNvPr>
        <xdr:cNvSpPr/>
      </xdr:nvSpPr>
      <xdr:spPr>
        <a:xfrm>
          <a:off x="11270028" y="9612801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1764810</xdr:colOff>
      <xdr:row>72</xdr:row>
      <xdr:rowOff>1185373</xdr:rowOff>
    </xdr:from>
    <xdr:to>
      <xdr:col>5</xdr:col>
      <xdr:colOff>1999272</xdr:colOff>
      <xdr:row>72</xdr:row>
      <xdr:rowOff>1412507</xdr:rowOff>
    </xdr:to>
    <xdr:sp macro="" textlink="">
      <xdr:nvSpPr>
        <xdr:cNvPr id="545" name="Organigramme : Jonction de sommaire 544">
          <a:extLst>
            <a:ext uri="{FF2B5EF4-FFF2-40B4-BE49-F238E27FC236}">
              <a16:creationId xmlns:a16="http://schemas.microsoft.com/office/drawing/2014/main" id="{00000000-0008-0000-0700-000021020000}"/>
            </a:ext>
          </a:extLst>
        </xdr:cNvPr>
        <xdr:cNvSpPr/>
      </xdr:nvSpPr>
      <xdr:spPr>
        <a:xfrm>
          <a:off x="12313748" y="961258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73</xdr:row>
      <xdr:rowOff>262303</xdr:rowOff>
    </xdr:from>
    <xdr:to>
      <xdr:col>5</xdr:col>
      <xdr:colOff>493102</xdr:colOff>
      <xdr:row>73</xdr:row>
      <xdr:rowOff>414703</xdr:rowOff>
    </xdr:to>
    <xdr:sp macro="" textlink="">
      <xdr:nvSpPr>
        <xdr:cNvPr id="546" name="Rectangle 545">
          <a:extLst>
            <a:ext uri="{FF2B5EF4-FFF2-40B4-BE49-F238E27FC236}">
              <a16:creationId xmlns:a16="http://schemas.microsoft.com/office/drawing/2014/main" id="{00000000-0008-0000-0700-000022020000}"/>
            </a:ext>
          </a:extLst>
        </xdr:cNvPr>
        <xdr:cNvSpPr/>
      </xdr:nvSpPr>
      <xdr:spPr>
        <a:xfrm>
          <a:off x="10889640" y="972268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73</xdr:row>
      <xdr:rowOff>1672004</xdr:rowOff>
    </xdr:from>
    <xdr:to>
      <xdr:col>5</xdr:col>
      <xdr:colOff>487241</xdr:colOff>
      <xdr:row>73</xdr:row>
      <xdr:rowOff>1824404</xdr:rowOff>
    </xdr:to>
    <xdr:sp macro="" textlink="">
      <xdr:nvSpPr>
        <xdr:cNvPr id="547" name="Rectangle 546">
          <a:extLst>
            <a:ext uri="{FF2B5EF4-FFF2-40B4-BE49-F238E27FC236}">
              <a16:creationId xmlns:a16="http://schemas.microsoft.com/office/drawing/2014/main" id="{00000000-0008-0000-0700-000023020000}"/>
            </a:ext>
          </a:extLst>
        </xdr:cNvPr>
        <xdr:cNvSpPr/>
      </xdr:nvSpPr>
      <xdr:spPr>
        <a:xfrm>
          <a:off x="10883779" y="986365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73</xdr:row>
      <xdr:rowOff>244719</xdr:rowOff>
    </xdr:from>
    <xdr:to>
      <xdr:col>5</xdr:col>
      <xdr:colOff>2380518</xdr:colOff>
      <xdr:row>73</xdr:row>
      <xdr:rowOff>397119</xdr:rowOff>
    </xdr:to>
    <xdr:sp macro="" textlink="">
      <xdr:nvSpPr>
        <xdr:cNvPr id="548" name="Rectangle 547">
          <a:extLst>
            <a:ext uri="{FF2B5EF4-FFF2-40B4-BE49-F238E27FC236}">
              <a16:creationId xmlns:a16="http://schemas.microsoft.com/office/drawing/2014/main" id="{00000000-0008-0000-0700-000024020000}"/>
            </a:ext>
          </a:extLst>
        </xdr:cNvPr>
        <xdr:cNvSpPr/>
      </xdr:nvSpPr>
      <xdr:spPr>
        <a:xfrm>
          <a:off x="12777056" y="972092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73</xdr:row>
      <xdr:rowOff>1701311</xdr:rowOff>
    </xdr:from>
    <xdr:to>
      <xdr:col>5</xdr:col>
      <xdr:colOff>2372458</xdr:colOff>
      <xdr:row>73</xdr:row>
      <xdr:rowOff>1853711</xdr:rowOff>
    </xdr:to>
    <xdr:sp macro="" textlink="">
      <xdr:nvSpPr>
        <xdr:cNvPr id="549" name="Rectangle 548">
          <a:extLst>
            <a:ext uri="{FF2B5EF4-FFF2-40B4-BE49-F238E27FC236}">
              <a16:creationId xmlns:a16="http://schemas.microsoft.com/office/drawing/2014/main" id="{00000000-0008-0000-0700-000025020000}"/>
            </a:ext>
          </a:extLst>
        </xdr:cNvPr>
        <xdr:cNvSpPr/>
      </xdr:nvSpPr>
      <xdr:spPr>
        <a:xfrm>
          <a:off x="12768996" y="986658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400783</xdr:colOff>
      <xdr:row>73</xdr:row>
      <xdr:rowOff>786912</xdr:rowOff>
    </xdr:from>
    <xdr:to>
      <xdr:col>5</xdr:col>
      <xdr:colOff>2305783</xdr:colOff>
      <xdr:row>73</xdr:row>
      <xdr:rowOff>845527</xdr:rowOff>
    </xdr:to>
    <xdr:sp macro="" textlink="">
      <xdr:nvSpPr>
        <xdr:cNvPr id="550" name="Rectangle 549">
          <a:extLst>
            <a:ext uri="{FF2B5EF4-FFF2-40B4-BE49-F238E27FC236}">
              <a16:creationId xmlns:a16="http://schemas.microsoft.com/office/drawing/2014/main" id="{00000000-0008-0000-0700-000026020000}"/>
            </a:ext>
          </a:extLst>
        </xdr:cNvPr>
        <xdr:cNvSpPr/>
      </xdr:nvSpPr>
      <xdr:spPr>
        <a:xfrm>
          <a:off x="10949721" y="9775141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340702</xdr:colOff>
      <xdr:row>73</xdr:row>
      <xdr:rowOff>262303</xdr:rowOff>
    </xdr:from>
    <xdr:to>
      <xdr:col>5</xdr:col>
      <xdr:colOff>493102</xdr:colOff>
      <xdr:row>73</xdr:row>
      <xdr:rowOff>414703</xdr:rowOff>
    </xdr:to>
    <xdr:sp macro="" textlink="">
      <xdr:nvSpPr>
        <xdr:cNvPr id="551" name="Rectangle 550">
          <a:extLst>
            <a:ext uri="{FF2B5EF4-FFF2-40B4-BE49-F238E27FC236}">
              <a16:creationId xmlns:a16="http://schemas.microsoft.com/office/drawing/2014/main" id="{00000000-0008-0000-0700-000027020000}"/>
            </a:ext>
          </a:extLst>
        </xdr:cNvPr>
        <xdr:cNvSpPr/>
      </xdr:nvSpPr>
      <xdr:spPr>
        <a:xfrm>
          <a:off x="10889640" y="9722680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334841</xdr:colOff>
      <xdr:row>73</xdr:row>
      <xdr:rowOff>1672004</xdr:rowOff>
    </xdr:from>
    <xdr:to>
      <xdr:col>5</xdr:col>
      <xdr:colOff>487241</xdr:colOff>
      <xdr:row>73</xdr:row>
      <xdr:rowOff>1824404</xdr:rowOff>
    </xdr:to>
    <xdr:sp macro="" textlink="">
      <xdr:nvSpPr>
        <xdr:cNvPr id="552" name="Rectangle 551">
          <a:extLst>
            <a:ext uri="{FF2B5EF4-FFF2-40B4-BE49-F238E27FC236}">
              <a16:creationId xmlns:a16="http://schemas.microsoft.com/office/drawing/2014/main" id="{00000000-0008-0000-0700-000028020000}"/>
            </a:ext>
          </a:extLst>
        </xdr:cNvPr>
        <xdr:cNvSpPr/>
      </xdr:nvSpPr>
      <xdr:spPr>
        <a:xfrm>
          <a:off x="10883779" y="9863650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2228118</xdr:colOff>
      <xdr:row>73</xdr:row>
      <xdr:rowOff>244719</xdr:rowOff>
    </xdr:from>
    <xdr:to>
      <xdr:col>5</xdr:col>
      <xdr:colOff>2380518</xdr:colOff>
      <xdr:row>73</xdr:row>
      <xdr:rowOff>397119</xdr:rowOff>
    </xdr:to>
    <xdr:sp macro="" textlink="">
      <xdr:nvSpPr>
        <xdr:cNvPr id="553" name="Rectangle 552">
          <a:extLst>
            <a:ext uri="{FF2B5EF4-FFF2-40B4-BE49-F238E27FC236}">
              <a16:creationId xmlns:a16="http://schemas.microsoft.com/office/drawing/2014/main" id="{00000000-0008-0000-0700-000029020000}"/>
            </a:ext>
          </a:extLst>
        </xdr:cNvPr>
        <xdr:cNvSpPr/>
      </xdr:nvSpPr>
      <xdr:spPr>
        <a:xfrm>
          <a:off x="12777056" y="9720921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2220058</xdr:colOff>
      <xdr:row>73</xdr:row>
      <xdr:rowOff>1701311</xdr:rowOff>
    </xdr:from>
    <xdr:to>
      <xdr:col>5</xdr:col>
      <xdr:colOff>2372458</xdr:colOff>
      <xdr:row>73</xdr:row>
      <xdr:rowOff>1853711</xdr:rowOff>
    </xdr:to>
    <xdr:sp macro="" textlink="">
      <xdr:nvSpPr>
        <xdr:cNvPr id="554" name="Rectangle 553">
          <a:extLst>
            <a:ext uri="{FF2B5EF4-FFF2-40B4-BE49-F238E27FC236}">
              <a16:creationId xmlns:a16="http://schemas.microsoft.com/office/drawing/2014/main" id="{00000000-0008-0000-0700-00002A020000}"/>
            </a:ext>
          </a:extLst>
        </xdr:cNvPr>
        <xdr:cNvSpPr/>
      </xdr:nvSpPr>
      <xdr:spPr>
        <a:xfrm>
          <a:off x="12768996" y="9866581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591648</xdr:colOff>
      <xdr:row>73</xdr:row>
      <xdr:rowOff>703385</xdr:rowOff>
    </xdr:from>
    <xdr:to>
      <xdr:col>5</xdr:col>
      <xdr:colOff>826110</xdr:colOff>
      <xdr:row>73</xdr:row>
      <xdr:rowOff>930519</xdr:rowOff>
    </xdr:to>
    <xdr:sp macro="" textlink="">
      <xdr:nvSpPr>
        <xdr:cNvPr id="555" name="Organigramme : Jonction de sommaire 554">
          <a:extLst>
            <a:ext uri="{FF2B5EF4-FFF2-40B4-BE49-F238E27FC236}">
              <a16:creationId xmlns:a16="http://schemas.microsoft.com/office/drawing/2014/main" id="{00000000-0008-0000-0700-00002B020000}"/>
            </a:ext>
          </a:extLst>
        </xdr:cNvPr>
        <xdr:cNvSpPr/>
      </xdr:nvSpPr>
      <xdr:spPr>
        <a:xfrm>
          <a:off x="11140586" y="976678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1883018</xdr:colOff>
      <xdr:row>73</xdr:row>
      <xdr:rowOff>710711</xdr:rowOff>
    </xdr:from>
    <xdr:to>
      <xdr:col>5</xdr:col>
      <xdr:colOff>2117480</xdr:colOff>
      <xdr:row>73</xdr:row>
      <xdr:rowOff>937845</xdr:rowOff>
    </xdr:to>
    <xdr:sp macro="" textlink="">
      <xdr:nvSpPr>
        <xdr:cNvPr id="556" name="Organigramme : Jonction de sommaire 555">
          <a:extLst>
            <a:ext uri="{FF2B5EF4-FFF2-40B4-BE49-F238E27FC236}">
              <a16:creationId xmlns:a16="http://schemas.microsoft.com/office/drawing/2014/main" id="{00000000-0008-0000-0700-00002C020000}"/>
            </a:ext>
          </a:extLst>
        </xdr:cNvPr>
        <xdr:cNvSpPr/>
      </xdr:nvSpPr>
      <xdr:spPr>
        <a:xfrm>
          <a:off x="12431956" y="9767521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1012031</xdr:colOff>
      <xdr:row>73</xdr:row>
      <xdr:rowOff>690563</xdr:rowOff>
    </xdr:from>
    <xdr:to>
      <xdr:col>5</xdr:col>
      <xdr:colOff>1246493</xdr:colOff>
      <xdr:row>73</xdr:row>
      <xdr:rowOff>917697</xdr:rowOff>
    </xdr:to>
    <xdr:sp macro="" textlink="">
      <xdr:nvSpPr>
        <xdr:cNvPr id="557" name="Organigramme : Jonction de sommaire 556">
          <a:extLst>
            <a:ext uri="{FF2B5EF4-FFF2-40B4-BE49-F238E27FC236}">
              <a16:creationId xmlns:a16="http://schemas.microsoft.com/office/drawing/2014/main" id="{00000000-0008-0000-0700-00002D020000}"/>
            </a:ext>
          </a:extLst>
        </xdr:cNvPr>
        <xdr:cNvSpPr/>
      </xdr:nvSpPr>
      <xdr:spPr>
        <a:xfrm>
          <a:off x="11560969" y="976550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1452562</xdr:colOff>
      <xdr:row>73</xdr:row>
      <xdr:rowOff>702468</xdr:rowOff>
    </xdr:from>
    <xdr:to>
      <xdr:col>5</xdr:col>
      <xdr:colOff>1687024</xdr:colOff>
      <xdr:row>73</xdr:row>
      <xdr:rowOff>929602</xdr:rowOff>
    </xdr:to>
    <xdr:sp macro="" textlink="">
      <xdr:nvSpPr>
        <xdr:cNvPr id="558" name="Organigramme : Jonction de sommaire 557">
          <a:extLst>
            <a:ext uri="{FF2B5EF4-FFF2-40B4-BE49-F238E27FC236}">
              <a16:creationId xmlns:a16="http://schemas.microsoft.com/office/drawing/2014/main" id="{00000000-0008-0000-0700-00002E020000}"/>
            </a:ext>
          </a:extLst>
        </xdr:cNvPr>
        <xdr:cNvSpPr/>
      </xdr:nvSpPr>
      <xdr:spPr>
        <a:xfrm>
          <a:off x="12001500" y="976669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396875</xdr:colOff>
      <xdr:row>73</xdr:row>
      <xdr:rowOff>1271099</xdr:rowOff>
    </xdr:from>
    <xdr:to>
      <xdr:col>5</xdr:col>
      <xdr:colOff>2301875</xdr:colOff>
      <xdr:row>73</xdr:row>
      <xdr:rowOff>1329714</xdr:rowOff>
    </xdr:to>
    <xdr:sp macro="" textlink="">
      <xdr:nvSpPr>
        <xdr:cNvPr id="559" name="Rectangle 558">
          <a:extLst>
            <a:ext uri="{FF2B5EF4-FFF2-40B4-BE49-F238E27FC236}">
              <a16:creationId xmlns:a16="http://schemas.microsoft.com/office/drawing/2014/main" id="{00000000-0008-0000-0700-00002F020000}"/>
            </a:ext>
          </a:extLst>
        </xdr:cNvPr>
        <xdr:cNvSpPr/>
      </xdr:nvSpPr>
      <xdr:spPr>
        <a:xfrm>
          <a:off x="10945813" y="9823559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587740</xdr:colOff>
      <xdr:row>73</xdr:row>
      <xdr:rowOff>1187572</xdr:rowOff>
    </xdr:from>
    <xdr:to>
      <xdr:col>5</xdr:col>
      <xdr:colOff>822202</xdr:colOff>
      <xdr:row>73</xdr:row>
      <xdr:rowOff>1414706</xdr:rowOff>
    </xdr:to>
    <xdr:sp macro="" textlink="">
      <xdr:nvSpPr>
        <xdr:cNvPr id="560" name="Organigramme : Jonction de sommaire 559">
          <a:extLst>
            <a:ext uri="{FF2B5EF4-FFF2-40B4-BE49-F238E27FC236}">
              <a16:creationId xmlns:a16="http://schemas.microsoft.com/office/drawing/2014/main" id="{00000000-0008-0000-0700-000030020000}"/>
            </a:ext>
          </a:extLst>
        </xdr:cNvPr>
        <xdr:cNvSpPr/>
      </xdr:nvSpPr>
      <xdr:spPr>
        <a:xfrm>
          <a:off x="11136678" y="981520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1879110</xdr:colOff>
      <xdr:row>73</xdr:row>
      <xdr:rowOff>1194898</xdr:rowOff>
    </xdr:from>
    <xdr:to>
      <xdr:col>5</xdr:col>
      <xdr:colOff>2113572</xdr:colOff>
      <xdr:row>73</xdr:row>
      <xdr:rowOff>1422032</xdr:rowOff>
    </xdr:to>
    <xdr:sp macro="" textlink="">
      <xdr:nvSpPr>
        <xdr:cNvPr id="561" name="Organigramme : Jonction de sommaire 560">
          <a:extLst>
            <a:ext uri="{FF2B5EF4-FFF2-40B4-BE49-F238E27FC236}">
              <a16:creationId xmlns:a16="http://schemas.microsoft.com/office/drawing/2014/main" id="{00000000-0008-0000-0700-000031020000}"/>
            </a:ext>
          </a:extLst>
        </xdr:cNvPr>
        <xdr:cNvSpPr/>
      </xdr:nvSpPr>
      <xdr:spPr>
        <a:xfrm>
          <a:off x="12428048" y="981593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1008123</xdr:colOff>
      <xdr:row>73</xdr:row>
      <xdr:rowOff>1174750</xdr:rowOff>
    </xdr:from>
    <xdr:to>
      <xdr:col>5</xdr:col>
      <xdr:colOff>1242585</xdr:colOff>
      <xdr:row>73</xdr:row>
      <xdr:rowOff>1401884</xdr:rowOff>
    </xdr:to>
    <xdr:sp macro="" textlink="">
      <xdr:nvSpPr>
        <xdr:cNvPr id="562" name="Organigramme : Jonction de sommaire 561">
          <a:extLst>
            <a:ext uri="{FF2B5EF4-FFF2-40B4-BE49-F238E27FC236}">
              <a16:creationId xmlns:a16="http://schemas.microsoft.com/office/drawing/2014/main" id="{00000000-0008-0000-0700-000032020000}"/>
            </a:ext>
          </a:extLst>
        </xdr:cNvPr>
        <xdr:cNvSpPr/>
      </xdr:nvSpPr>
      <xdr:spPr>
        <a:xfrm>
          <a:off x="11557061" y="981392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1448654</xdr:colOff>
      <xdr:row>73</xdr:row>
      <xdr:rowOff>1186655</xdr:rowOff>
    </xdr:from>
    <xdr:to>
      <xdr:col>5</xdr:col>
      <xdr:colOff>1683116</xdr:colOff>
      <xdr:row>73</xdr:row>
      <xdr:rowOff>1413789</xdr:rowOff>
    </xdr:to>
    <xdr:sp macro="" textlink="">
      <xdr:nvSpPr>
        <xdr:cNvPr id="563" name="Organigramme : Jonction de sommaire 562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SpPr/>
      </xdr:nvSpPr>
      <xdr:spPr>
        <a:xfrm>
          <a:off x="11997592" y="9815115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74</xdr:row>
      <xdr:rowOff>104775</xdr:rowOff>
    </xdr:from>
    <xdr:to>
      <xdr:col>5</xdr:col>
      <xdr:colOff>885825</xdr:colOff>
      <xdr:row>74</xdr:row>
      <xdr:rowOff>257175</xdr:rowOff>
    </xdr:to>
    <xdr:sp macro="" textlink="">
      <xdr:nvSpPr>
        <xdr:cNvPr id="630" name="Rectangle 629">
          <a:extLst>
            <a:ext uri="{FF2B5EF4-FFF2-40B4-BE49-F238E27FC236}">
              <a16:creationId xmlns:a16="http://schemas.microsoft.com/office/drawing/2014/main" id="{00000000-0008-0000-0700-000076020000}"/>
            </a:ext>
          </a:extLst>
        </xdr:cNvPr>
        <xdr:cNvSpPr/>
      </xdr:nvSpPr>
      <xdr:spPr>
        <a:xfrm>
          <a:off x="11428639" y="7299823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74</xdr:row>
      <xdr:rowOff>1771650</xdr:rowOff>
    </xdr:from>
    <xdr:to>
      <xdr:col>5</xdr:col>
      <xdr:colOff>891268</xdr:colOff>
      <xdr:row>74</xdr:row>
      <xdr:rowOff>1924050</xdr:rowOff>
    </xdr:to>
    <xdr:sp macro="" textlink="">
      <xdr:nvSpPr>
        <xdr:cNvPr id="631" name="Rectangle 630">
          <a:extLst>
            <a:ext uri="{FF2B5EF4-FFF2-40B4-BE49-F238E27FC236}">
              <a16:creationId xmlns:a16="http://schemas.microsoft.com/office/drawing/2014/main" id="{00000000-0008-0000-0700-000077020000}"/>
            </a:ext>
          </a:extLst>
        </xdr:cNvPr>
        <xdr:cNvSpPr/>
      </xdr:nvSpPr>
      <xdr:spPr>
        <a:xfrm>
          <a:off x="11434082" y="118806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74</xdr:row>
      <xdr:rowOff>95250</xdr:rowOff>
    </xdr:from>
    <xdr:to>
      <xdr:col>5</xdr:col>
      <xdr:colOff>2143125</xdr:colOff>
      <xdr:row>74</xdr:row>
      <xdr:rowOff>247650</xdr:rowOff>
    </xdr:to>
    <xdr:sp macro="" textlink="">
      <xdr:nvSpPr>
        <xdr:cNvPr id="632" name="Rectangle 631">
          <a:extLst>
            <a:ext uri="{FF2B5EF4-FFF2-40B4-BE49-F238E27FC236}">
              <a16:creationId xmlns:a16="http://schemas.microsoft.com/office/drawing/2014/main" id="{00000000-0008-0000-0700-000078020000}"/>
            </a:ext>
          </a:extLst>
        </xdr:cNvPr>
        <xdr:cNvSpPr/>
      </xdr:nvSpPr>
      <xdr:spPr>
        <a:xfrm>
          <a:off x="12685939" y="7298871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74</xdr:row>
      <xdr:rowOff>1771650</xdr:rowOff>
    </xdr:from>
    <xdr:to>
      <xdr:col>5</xdr:col>
      <xdr:colOff>2139043</xdr:colOff>
      <xdr:row>74</xdr:row>
      <xdr:rowOff>1924050</xdr:rowOff>
    </xdr:to>
    <xdr:sp macro="" textlink="">
      <xdr:nvSpPr>
        <xdr:cNvPr id="633" name="Rectangle 632">
          <a:extLst>
            <a:ext uri="{FF2B5EF4-FFF2-40B4-BE49-F238E27FC236}">
              <a16:creationId xmlns:a16="http://schemas.microsoft.com/office/drawing/2014/main" id="{00000000-0008-0000-0700-000079020000}"/>
            </a:ext>
          </a:extLst>
        </xdr:cNvPr>
        <xdr:cNvSpPr/>
      </xdr:nvSpPr>
      <xdr:spPr>
        <a:xfrm>
          <a:off x="12681857" y="11880668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74</xdr:row>
      <xdr:rowOff>533618</xdr:rowOff>
    </xdr:from>
    <xdr:to>
      <xdr:col>5</xdr:col>
      <xdr:colOff>2096582</xdr:colOff>
      <xdr:row>74</xdr:row>
      <xdr:rowOff>579337</xdr:rowOff>
    </xdr:to>
    <xdr:sp macro="" textlink="">
      <xdr:nvSpPr>
        <xdr:cNvPr id="634" name="Rectangle 633">
          <a:extLst>
            <a:ext uri="{FF2B5EF4-FFF2-40B4-BE49-F238E27FC236}">
              <a16:creationId xmlns:a16="http://schemas.microsoft.com/office/drawing/2014/main" id="{00000000-0008-0000-0700-00007A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74</xdr:row>
      <xdr:rowOff>984723</xdr:rowOff>
    </xdr:from>
    <xdr:to>
      <xdr:col>5</xdr:col>
      <xdr:colOff>2107406</xdr:colOff>
      <xdr:row>74</xdr:row>
      <xdr:rowOff>1030442</xdr:rowOff>
    </xdr:to>
    <xdr:sp macro="" textlink="">
      <xdr:nvSpPr>
        <xdr:cNvPr id="638" name="Rectangle 637">
          <a:extLst>
            <a:ext uri="{FF2B5EF4-FFF2-40B4-BE49-F238E27FC236}">
              <a16:creationId xmlns:a16="http://schemas.microsoft.com/office/drawing/2014/main" id="{00000000-0008-0000-0700-00007E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74</xdr:row>
      <xdr:rowOff>1452313</xdr:rowOff>
    </xdr:from>
    <xdr:to>
      <xdr:col>5</xdr:col>
      <xdr:colOff>2116065</xdr:colOff>
      <xdr:row>74</xdr:row>
      <xdr:rowOff>1498032</xdr:rowOff>
    </xdr:to>
    <xdr:sp macro="" textlink="">
      <xdr:nvSpPr>
        <xdr:cNvPr id="641" name="Rectangle 640">
          <a:extLst>
            <a:ext uri="{FF2B5EF4-FFF2-40B4-BE49-F238E27FC236}">
              <a16:creationId xmlns:a16="http://schemas.microsoft.com/office/drawing/2014/main" id="{00000000-0008-0000-0700-000081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75</xdr:row>
      <xdr:rowOff>104775</xdr:rowOff>
    </xdr:from>
    <xdr:to>
      <xdr:col>5</xdr:col>
      <xdr:colOff>885825</xdr:colOff>
      <xdr:row>75</xdr:row>
      <xdr:rowOff>257175</xdr:rowOff>
    </xdr:to>
    <xdr:sp macro="" textlink="">
      <xdr:nvSpPr>
        <xdr:cNvPr id="647" name="Rectangle 646">
          <a:extLst>
            <a:ext uri="{FF2B5EF4-FFF2-40B4-BE49-F238E27FC236}">
              <a16:creationId xmlns:a16="http://schemas.microsoft.com/office/drawing/2014/main" id="{00000000-0008-0000-0700-000087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75</xdr:row>
      <xdr:rowOff>1771650</xdr:rowOff>
    </xdr:from>
    <xdr:to>
      <xdr:col>5</xdr:col>
      <xdr:colOff>891268</xdr:colOff>
      <xdr:row>75</xdr:row>
      <xdr:rowOff>1924050</xdr:rowOff>
    </xdr:to>
    <xdr:sp macro="" textlink="">
      <xdr:nvSpPr>
        <xdr:cNvPr id="648" name="Rectangle 647">
          <a:extLst>
            <a:ext uri="{FF2B5EF4-FFF2-40B4-BE49-F238E27FC236}">
              <a16:creationId xmlns:a16="http://schemas.microsoft.com/office/drawing/2014/main" id="{00000000-0008-0000-0700-000088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75</xdr:row>
      <xdr:rowOff>95250</xdr:rowOff>
    </xdr:from>
    <xdr:to>
      <xdr:col>5</xdr:col>
      <xdr:colOff>2143125</xdr:colOff>
      <xdr:row>75</xdr:row>
      <xdr:rowOff>247650</xdr:rowOff>
    </xdr:to>
    <xdr:sp macro="" textlink="">
      <xdr:nvSpPr>
        <xdr:cNvPr id="649" name="Rectangle 648">
          <a:extLst>
            <a:ext uri="{FF2B5EF4-FFF2-40B4-BE49-F238E27FC236}">
              <a16:creationId xmlns:a16="http://schemas.microsoft.com/office/drawing/2014/main" id="{00000000-0008-0000-0700-000089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75</xdr:row>
      <xdr:rowOff>1771650</xdr:rowOff>
    </xdr:from>
    <xdr:to>
      <xdr:col>5</xdr:col>
      <xdr:colOff>2139043</xdr:colOff>
      <xdr:row>75</xdr:row>
      <xdr:rowOff>1924050</xdr:rowOff>
    </xdr:to>
    <xdr:sp macro="" textlink="">
      <xdr:nvSpPr>
        <xdr:cNvPr id="650" name="Rectangle 649">
          <a:extLst>
            <a:ext uri="{FF2B5EF4-FFF2-40B4-BE49-F238E27FC236}">
              <a16:creationId xmlns:a16="http://schemas.microsoft.com/office/drawing/2014/main" id="{00000000-0008-0000-0700-00008A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75</xdr:row>
      <xdr:rowOff>533618</xdr:rowOff>
    </xdr:from>
    <xdr:to>
      <xdr:col>5</xdr:col>
      <xdr:colOff>2096582</xdr:colOff>
      <xdr:row>75</xdr:row>
      <xdr:rowOff>579337</xdr:rowOff>
    </xdr:to>
    <xdr:sp macro="" textlink="">
      <xdr:nvSpPr>
        <xdr:cNvPr id="651" name="Rectangle 650">
          <a:extLst>
            <a:ext uri="{FF2B5EF4-FFF2-40B4-BE49-F238E27FC236}">
              <a16:creationId xmlns:a16="http://schemas.microsoft.com/office/drawing/2014/main" id="{00000000-0008-0000-0700-00008B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75</xdr:row>
      <xdr:rowOff>984723</xdr:rowOff>
    </xdr:from>
    <xdr:to>
      <xdr:col>5</xdr:col>
      <xdr:colOff>2107406</xdr:colOff>
      <xdr:row>75</xdr:row>
      <xdr:rowOff>1030442</xdr:rowOff>
    </xdr:to>
    <xdr:sp macro="" textlink="">
      <xdr:nvSpPr>
        <xdr:cNvPr id="655" name="Rectangle 654">
          <a:extLst>
            <a:ext uri="{FF2B5EF4-FFF2-40B4-BE49-F238E27FC236}">
              <a16:creationId xmlns:a16="http://schemas.microsoft.com/office/drawing/2014/main" id="{00000000-0008-0000-0700-00008F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965921</xdr:colOff>
      <xdr:row>75</xdr:row>
      <xdr:rowOff>433821</xdr:rowOff>
    </xdr:from>
    <xdr:to>
      <xdr:col>5</xdr:col>
      <xdr:colOff>1200383</xdr:colOff>
      <xdr:row>75</xdr:row>
      <xdr:rowOff>660955</xdr:rowOff>
    </xdr:to>
    <xdr:sp macro="" textlink="">
      <xdr:nvSpPr>
        <xdr:cNvPr id="656" name="Organigramme : Jonction de sommaire 655">
          <a:extLst>
            <a:ext uri="{FF2B5EF4-FFF2-40B4-BE49-F238E27FC236}">
              <a16:creationId xmlns:a16="http://schemas.microsoft.com/office/drawing/2014/main" id="{00000000-0008-0000-0700-000090020000}"/>
            </a:ext>
          </a:extLst>
        </xdr:cNvPr>
        <xdr:cNvSpPr/>
      </xdr:nvSpPr>
      <xdr:spPr>
        <a:xfrm>
          <a:off x="11643446" y="1297166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1610456</xdr:colOff>
      <xdr:row>75</xdr:row>
      <xdr:rowOff>453703</xdr:rowOff>
    </xdr:from>
    <xdr:to>
      <xdr:col>5</xdr:col>
      <xdr:colOff>1844918</xdr:colOff>
      <xdr:row>75</xdr:row>
      <xdr:rowOff>680837</xdr:rowOff>
    </xdr:to>
    <xdr:sp macro="" textlink="">
      <xdr:nvSpPr>
        <xdr:cNvPr id="657" name="Organigramme : Jonction de sommaire 656">
          <a:extLst>
            <a:ext uri="{FF2B5EF4-FFF2-40B4-BE49-F238E27FC236}">
              <a16:creationId xmlns:a16="http://schemas.microsoft.com/office/drawing/2014/main" id="{00000000-0008-0000-0700-000091020000}"/>
            </a:ext>
          </a:extLst>
        </xdr:cNvPr>
        <xdr:cNvSpPr/>
      </xdr:nvSpPr>
      <xdr:spPr>
        <a:xfrm>
          <a:off x="12287981" y="12973652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75</xdr:row>
      <xdr:rowOff>1452313</xdr:rowOff>
    </xdr:from>
    <xdr:to>
      <xdr:col>5</xdr:col>
      <xdr:colOff>2116065</xdr:colOff>
      <xdr:row>75</xdr:row>
      <xdr:rowOff>1498032</xdr:rowOff>
    </xdr:to>
    <xdr:sp macro="" textlink="">
      <xdr:nvSpPr>
        <xdr:cNvPr id="658" name="Rectangle 657">
          <a:extLst>
            <a:ext uri="{FF2B5EF4-FFF2-40B4-BE49-F238E27FC236}">
              <a16:creationId xmlns:a16="http://schemas.microsoft.com/office/drawing/2014/main" id="{00000000-0008-0000-0700-000092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76</xdr:row>
      <xdr:rowOff>104775</xdr:rowOff>
    </xdr:from>
    <xdr:to>
      <xdr:col>5</xdr:col>
      <xdr:colOff>885825</xdr:colOff>
      <xdr:row>76</xdr:row>
      <xdr:rowOff>257175</xdr:rowOff>
    </xdr:to>
    <xdr:sp macro="" textlink="">
      <xdr:nvSpPr>
        <xdr:cNvPr id="681" name="Rectangle 680">
          <a:extLst>
            <a:ext uri="{FF2B5EF4-FFF2-40B4-BE49-F238E27FC236}">
              <a16:creationId xmlns:a16="http://schemas.microsoft.com/office/drawing/2014/main" id="{00000000-0008-0000-0700-0000A9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76</xdr:row>
      <xdr:rowOff>1771650</xdr:rowOff>
    </xdr:from>
    <xdr:to>
      <xdr:col>5</xdr:col>
      <xdr:colOff>891268</xdr:colOff>
      <xdr:row>76</xdr:row>
      <xdr:rowOff>1924050</xdr:rowOff>
    </xdr:to>
    <xdr:sp macro="" textlink="">
      <xdr:nvSpPr>
        <xdr:cNvPr id="682" name="Rectangle 681">
          <a:extLst>
            <a:ext uri="{FF2B5EF4-FFF2-40B4-BE49-F238E27FC236}">
              <a16:creationId xmlns:a16="http://schemas.microsoft.com/office/drawing/2014/main" id="{00000000-0008-0000-0700-0000AA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76</xdr:row>
      <xdr:rowOff>95250</xdr:rowOff>
    </xdr:from>
    <xdr:to>
      <xdr:col>5</xdr:col>
      <xdr:colOff>2143125</xdr:colOff>
      <xdr:row>76</xdr:row>
      <xdr:rowOff>247650</xdr:rowOff>
    </xdr:to>
    <xdr:sp macro="" textlink="">
      <xdr:nvSpPr>
        <xdr:cNvPr id="683" name="Rectangle 682">
          <a:extLst>
            <a:ext uri="{FF2B5EF4-FFF2-40B4-BE49-F238E27FC236}">
              <a16:creationId xmlns:a16="http://schemas.microsoft.com/office/drawing/2014/main" id="{00000000-0008-0000-0700-0000AB02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76</xdr:row>
      <xdr:rowOff>1771650</xdr:rowOff>
    </xdr:from>
    <xdr:to>
      <xdr:col>5</xdr:col>
      <xdr:colOff>2139043</xdr:colOff>
      <xdr:row>76</xdr:row>
      <xdr:rowOff>1924050</xdr:rowOff>
    </xdr:to>
    <xdr:sp macro="" textlink="">
      <xdr:nvSpPr>
        <xdr:cNvPr id="684" name="Rectangle 683">
          <a:extLst>
            <a:ext uri="{FF2B5EF4-FFF2-40B4-BE49-F238E27FC236}">
              <a16:creationId xmlns:a16="http://schemas.microsoft.com/office/drawing/2014/main" id="{00000000-0008-0000-0700-0000AC02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76</xdr:row>
      <xdr:rowOff>533618</xdr:rowOff>
    </xdr:from>
    <xdr:to>
      <xdr:col>5</xdr:col>
      <xdr:colOff>2096582</xdr:colOff>
      <xdr:row>76</xdr:row>
      <xdr:rowOff>579337</xdr:rowOff>
    </xdr:to>
    <xdr:sp macro="" textlink="">
      <xdr:nvSpPr>
        <xdr:cNvPr id="685" name="Rectangle 684">
          <a:extLst>
            <a:ext uri="{FF2B5EF4-FFF2-40B4-BE49-F238E27FC236}">
              <a16:creationId xmlns:a16="http://schemas.microsoft.com/office/drawing/2014/main" id="{00000000-0008-0000-0700-0000AD02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76</xdr:row>
      <xdr:rowOff>449441</xdr:rowOff>
    </xdr:from>
    <xdr:to>
      <xdr:col>5</xdr:col>
      <xdr:colOff>1208609</xdr:colOff>
      <xdr:row>76</xdr:row>
      <xdr:rowOff>676575</xdr:rowOff>
    </xdr:to>
    <xdr:sp macro="" textlink="">
      <xdr:nvSpPr>
        <xdr:cNvPr id="686" name="Organigramme : Jonction de sommaire 685">
          <a:extLst>
            <a:ext uri="{FF2B5EF4-FFF2-40B4-BE49-F238E27FC236}">
              <a16:creationId xmlns:a16="http://schemas.microsoft.com/office/drawing/2014/main" id="{00000000-0008-0000-0700-0000AE020000}"/>
            </a:ext>
          </a:extLst>
        </xdr:cNvPr>
        <xdr:cNvSpPr/>
      </xdr:nvSpPr>
      <xdr:spPr>
        <a:xfrm>
          <a:off x="11668124" y="11772816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76</xdr:row>
      <xdr:rowOff>450273</xdr:rowOff>
    </xdr:from>
    <xdr:to>
      <xdr:col>5</xdr:col>
      <xdr:colOff>1824569</xdr:colOff>
      <xdr:row>76</xdr:row>
      <xdr:rowOff>677407</xdr:rowOff>
    </xdr:to>
    <xdr:sp macro="" textlink="">
      <xdr:nvSpPr>
        <xdr:cNvPr id="687" name="Organigramme : Jonction de sommaire 686">
          <a:extLst>
            <a:ext uri="{FF2B5EF4-FFF2-40B4-BE49-F238E27FC236}">
              <a16:creationId xmlns:a16="http://schemas.microsoft.com/office/drawing/2014/main" id="{00000000-0008-0000-0700-0000AF020000}"/>
            </a:ext>
          </a:extLst>
        </xdr:cNvPr>
        <xdr:cNvSpPr/>
      </xdr:nvSpPr>
      <xdr:spPr>
        <a:xfrm>
          <a:off x="12284084" y="1177290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76</xdr:row>
      <xdr:rowOff>984723</xdr:rowOff>
    </xdr:from>
    <xdr:to>
      <xdr:col>5</xdr:col>
      <xdr:colOff>2107406</xdr:colOff>
      <xdr:row>76</xdr:row>
      <xdr:rowOff>1030442</xdr:rowOff>
    </xdr:to>
    <xdr:sp macro="" textlink="">
      <xdr:nvSpPr>
        <xdr:cNvPr id="689" name="Rectangle 688">
          <a:extLst>
            <a:ext uri="{FF2B5EF4-FFF2-40B4-BE49-F238E27FC236}">
              <a16:creationId xmlns:a16="http://schemas.microsoft.com/office/drawing/2014/main" id="{00000000-0008-0000-0700-0000B102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76</xdr:row>
      <xdr:rowOff>900546</xdr:rowOff>
    </xdr:from>
    <xdr:to>
      <xdr:col>5</xdr:col>
      <xdr:colOff>1219433</xdr:colOff>
      <xdr:row>76</xdr:row>
      <xdr:rowOff>1127680</xdr:rowOff>
    </xdr:to>
    <xdr:sp macro="" textlink="">
      <xdr:nvSpPr>
        <xdr:cNvPr id="690" name="Organigramme : Jonction de sommaire 689">
          <a:extLst>
            <a:ext uri="{FF2B5EF4-FFF2-40B4-BE49-F238E27FC236}">
              <a16:creationId xmlns:a16="http://schemas.microsoft.com/office/drawing/2014/main" id="{00000000-0008-0000-0700-0000B2020000}"/>
            </a:ext>
          </a:extLst>
        </xdr:cNvPr>
        <xdr:cNvSpPr/>
      </xdr:nvSpPr>
      <xdr:spPr>
        <a:xfrm>
          <a:off x="11678948" y="1181792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76</xdr:row>
      <xdr:rowOff>901378</xdr:rowOff>
    </xdr:from>
    <xdr:to>
      <xdr:col>5</xdr:col>
      <xdr:colOff>1835393</xdr:colOff>
      <xdr:row>76</xdr:row>
      <xdr:rowOff>1128512</xdr:rowOff>
    </xdr:to>
    <xdr:sp macro="" textlink="">
      <xdr:nvSpPr>
        <xdr:cNvPr id="691" name="Organigramme : Jonction de sommaire 690">
          <a:extLst>
            <a:ext uri="{FF2B5EF4-FFF2-40B4-BE49-F238E27FC236}">
              <a16:creationId xmlns:a16="http://schemas.microsoft.com/office/drawing/2014/main" id="{00000000-0008-0000-0700-0000B3020000}"/>
            </a:ext>
          </a:extLst>
        </xdr:cNvPr>
        <xdr:cNvSpPr/>
      </xdr:nvSpPr>
      <xdr:spPr>
        <a:xfrm>
          <a:off x="12294908" y="11818010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76</xdr:row>
      <xdr:rowOff>1452313</xdr:rowOff>
    </xdr:from>
    <xdr:to>
      <xdr:col>5</xdr:col>
      <xdr:colOff>2116065</xdr:colOff>
      <xdr:row>76</xdr:row>
      <xdr:rowOff>1498032</xdr:rowOff>
    </xdr:to>
    <xdr:sp macro="" textlink="">
      <xdr:nvSpPr>
        <xdr:cNvPr id="692" name="Rectangle 691">
          <a:extLst>
            <a:ext uri="{FF2B5EF4-FFF2-40B4-BE49-F238E27FC236}">
              <a16:creationId xmlns:a16="http://schemas.microsoft.com/office/drawing/2014/main" id="{00000000-0008-0000-0700-0000B402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76</xdr:row>
      <xdr:rowOff>1368136</xdr:rowOff>
    </xdr:from>
    <xdr:to>
      <xdr:col>5</xdr:col>
      <xdr:colOff>1228092</xdr:colOff>
      <xdr:row>76</xdr:row>
      <xdr:rowOff>1595270</xdr:rowOff>
    </xdr:to>
    <xdr:sp macro="" textlink="">
      <xdr:nvSpPr>
        <xdr:cNvPr id="693" name="Organigramme : Jonction de sommaire 692">
          <a:extLst>
            <a:ext uri="{FF2B5EF4-FFF2-40B4-BE49-F238E27FC236}">
              <a16:creationId xmlns:a16="http://schemas.microsoft.com/office/drawing/2014/main" id="{00000000-0008-0000-0700-0000B5020000}"/>
            </a:ext>
          </a:extLst>
        </xdr:cNvPr>
        <xdr:cNvSpPr/>
      </xdr:nvSpPr>
      <xdr:spPr>
        <a:xfrm>
          <a:off x="11687607" y="11864686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76</xdr:row>
      <xdr:rowOff>1368968</xdr:rowOff>
    </xdr:from>
    <xdr:to>
      <xdr:col>5</xdr:col>
      <xdr:colOff>1844052</xdr:colOff>
      <xdr:row>76</xdr:row>
      <xdr:rowOff>1596102</xdr:rowOff>
    </xdr:to>
    <xdr:sp macro="" textlink="">
      <xdr:nvSpPr>
        <xdr:cNvPr id="694" name="Organigramme : Jonction de sommaire 693">
          <a:extLst>
            <a:ext uri="{FF2B5EF4-FFF2-40B4-BE49-F238E27FC236}">
              <a16:creationId xmlns:a16="http://schemas.microsoft.com/office/drawing/2014/main" id="{00000000-0008-0000-0700-0000B6020000}"/>
            </a:ext>
          </a:extLst>
        </xdr:cNvPr>
        <xdr:cNvSpPr/>
      </xdr:nvSpPr>
      <xdr:spPr>
        <a:xfrm>
          <a:off x="12303567" y="11864769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77</xdr:row>
      <xdr:rowOff>104775</xdr:rowOff>
    </xdr:from>
    <xdr:to>
      <xdr:col>5</xdr:col>
      <xdr:colOff>885825</xdr:colOff>
      <xdr:row>77</xdr:row>
      <xdr:rowOff>257175</xdr:rowOff>
    </xdr:to>
    <xdr:sp macro="" textlink="">
      <xdr:nvSpPr>
        <xdr:cNvPr id="766" name="Rectangle 765">
          <a:extLst>
            <a:ext uri="{FF2B5EF4-FFF2-40B4-BE49-F238E27FC236}">
              <a16:creationId xmlns:a16="http://schemas.microsoft.com/office/drawing/2014/main" id="{00000000-0008-0000-0700-0000FE020000}"/>
            </a:ext>
          </a:extLst>
        </xdr:cNvPr>
        <xdr:cNvSpPr/>
      </xdr:nvSpPr>
      <xdr:spPr>
        <a:xfrm>
          <a:off x="11427402" y="11738350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77</xdr:row>
      <xdr:rowOff>1771650</xdr:rowOff>
    </xdr:from>
    <xdr:to>
      <xdr:col>5</xdr:col>
      <xdr:colOff>891268</xdr:colOff>
      <xdr:row>77</xdr:row>
      <xdr:rowOff>1924050</xdr:rowOff>
    </xdr:to>
    <xdr:sp macro="" textlink="">
      <xdr:nvSpPr>
        <xdr:cNvPr id="767" name="Rectangle 766">
          <a:extLst>
            <a:ext uri="{FF2B5EF4-FFF2-40B4-BE49-F238E27FC236}">
              <a16:creationId xmlns:a16="http://schemas.microsoft.com/office/drawing/2014/main" id="{00000000-0008-0000-0700-0000FF020000}"/>
            </a:ext>
          </a:extLst>
        </xdr:cNvPr>
        <xdr:cNvSpPr/>
      </xdr:nvSpPr>
      <xdr:spPr>
        <a:xfrm>
          <a:off x="11432845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77</xdr:row>
      <xdr:rowOff>95250</xdr:rowOff>
    </xdr:from>
    <xdr:to>
      <xdr:col>5</xdr:col>
      <xdr:colOff>2143125</xdr:colOff>
      <xdr:row>77</xdr:row>
      <xdr:rowOff>247650</xdr:rowOff>
    </xdr:to>
    <xdr:sp macro="" textlink="">
      <xdr:nvSpPr>
        <xdr:cNvPr id="768" name="Rectangle 767">
          <a:extLst>
            <a:ext uri="{FF2B5EF4-FFF2-40B4-BE49-F238E27FC236}">
              <a16:creationId xmlns:a16="http://schemas.microsoft.com/office/drawing/2014/main" id="{00000000-0008-0000-0700-000000030000}"/>
            </a:ext>
          </a:extLst>
        </xdr:cNvPr>
        <xdr:cNvSpPr/>
      </xdr:nvSpPr>
      <xdr:spPr>
        <a:xfrm>
          <a:off x="12684702" y="1173739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77</xdr:row>
      <xdr:rowOff>1771650</xdr:rowOff>
    </xdr:from>
    <xdr:to>
      <xdr:col>5</xdr:col>
      <xdr:colOff>2139043</xdr:colOff>
      <xdr:row>77</xdr:row>
      <xdr:rowOff>1924050</xdr:rowOff>
    </xdr:to>
    <xdr:sp macro="" textlink="">
      <xdr:nvSpPr>
        <xdr:cNvPr id="769" name="Rectangle 768">
          <a:extLst>
            <a:ext uri="{FF2B5EF4-FFF2-40B4-BE49-F238E27FC236}">
              <a16:creationId xmlns:a16="http://schemas.microsoft.com/office/drawing/2014/main" id="{00000000-0008-0000-0700-000001030000}"/>
            </a:ext>
          </a:extLst>
        </xdr:cNvPr>
        <xdr:cNvSpPr/>
      </xdr:nvSpPr>
      <xdr:spPr>
        <a:xfrm>
          <a:off x="12680620" y="119050377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77</xdr:row>
      <xdr:rowOff>533618</xdr:rowOff>
    </xdr:from>
    <xdr:to>
      <xdr:col>5</xdr:col>
      <xdr:colOff>2096582</xdr:colOff>
      <xdr:row>77</xdr:row>
      <xdr:rowOff>579337</xdr:rowOff>
    </xdr:to>
    <xdr:sp macro="" textlink="">
      <xdr:nvSpPr>
        <xdr:cNvPr id="770" name="Rectangle 769">
          <a:extLst>
            <a:ext uri="{FF2B5EF4-FFF2-40B4-BE49-F238E27FC236}">
              <a16:creationId xmlns:a16="http://schemas.microsoft.com/office/drawing/2014/main" id="{00000000-0008-0000-0700-000002030000}"/>
            </a:ext>
          </a:extLst>
        </xdr:cNvPr>
        <xdr:cNvSpPr/>
      </xdr:nvSpPr>
      <xdr:spPr>
        <a:xfrm>
          <a:off x="11445153" y="117812345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77</xdr:row>
      <xdr:rowOff>984723</xdr:rowOff>
    </xdr:from>
    <xdr:to>
      <xdr:col>5</xdr:col>
      <xdr:colOff>2107406</xdr:colOff>
      <xdr:row>77</xdr:row>
      <xdr:rowOff>1030442</xdr:rowOff>
    </xdr:to>
    <xdr:sp macro="" textlink="">
      <xdr:nvSpPr>
        <xdr:cNvPr id="774" name="Rectangle 773">
          <a:extLst>
            <a:ext uri="{FF2B5EF4-FFF2-40B4-BE49-F238E27FC236}">
              <a16:creationId xmlns:a16="http://schemas.microsoft.com/office/drawing/2014/main" id="{00000000-0008-0000-0700-000006030000}"/>
            </a:ext>
          </a:extLst>
        </xdr:cNvPr>
        <xdr:cNvSpPr/>
      </xdr:nvSpPr>
      <xdr:spPr>
        <a:xfrm>
          <a:off x="11455977" y="11826345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77</xdr:row>
      <xdr:rowOff>1452313</xdr:rowOff>
    </xdr:from>
    <xdr:to>
      <xdr:col>5</xdr:col>
      <xdr:colOff>2116065</xdr:colOff>
      <xdr:row>77</xdr:row>
      <xdr:rowOff>1498032</xdr:rowOff>
    </xdr:to>
    <xdr:sp macro="" textlink="">
      <xdr:nvSpPr>
        <xdr:cNvPr id="777" name="Rectangle 776">
          <a:extLst>
            <a:ext uri="{FF2B5EF4-FFF2-40B4-BE49-F238E27FC236}">
              <a16:creationId xmlns:a16="http://schemas.microsoft.com/office/drawing/2014/main" id="{00000000-0008-0000-0700-000009030000}"/>
            </a:ext>
          </a:extLst>
        </xdr:cNvPr>
        <xdr:cNvSpPr/>
      </xdr:nvSpPr>
      <xdr:spPr>
        <a:xfrm>
          <a:off x="11464636" y="118731040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78</xdr:row>
      <xdr:rowOff>104775</xdr:rowOff>
    </xdr:from>
    <xdr:to>
      <xdr:col>5</xdr:col>
      <xdr:colOff>885825</xdr:colOff>
      <xdr:row>78</xdr:row>
      <xdr:rowOff>257175</xdr:rowOff>
    </xdr:to>
    <xdr:sp macro="" textlink="">
      <xdr:nvSpPr>
        <xdr:cNvPr id="834" name="Rectangle 833">
          <a:extLst>
            <a:ext uri="{FF2B5EF4-FFF2-40B4-BE49-F238E27FC236}">
              <a16:creationId xmlns:a16="http://schemas.microsoft.com/office/drawing/2014/main" id="{00000000-0008-0000-0700-000042030000}"/>
            </a:ext>
          </a:extLst>
        </xdr:cNvPr>
        <xdr:cNvSpPr/>
      </xdr:nvSpPr>
      <xdr:spPr>
        <a:xfrm>
          <a:off x="11413331" y="133502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78</xdr:row>
      <xdr:rowOff>1771650</xdr:rowOff>
    </xdr:from>
    <xdr:to>
      <xdr:col>5</xdr:col>
      <xdr:colOff>891268</xdr:colOff>
      <xdr:row>78</xdr:row>
      <xdr:rowOff>1924050</xdr:rowOff>
    </xdr:to>
    <xdr:sp macro="" textlink="">
      <xdr:nvSpPr>
        <xdr:cNvPr id="835" name="Rectangle 834">
          <a:extLst>
            <a:ext uri="{FF2B5EF4-FFF2-40B4-BE49-F238E27FC236}">
              <a16:creationId xmlns:a16="http://schemas.microsoft.com/office/drawing/2014/main" id="{00000000-0008-0000-0700-000043030000}"/>
            </a:ext>
          </a:extLst>
        </xdr:cNvPr>
        <xdr:cNvSpPr/>
      </xdr:nvSpPr>
      <xdr:spPr>
        <a:xfrm>
          <a:off x="11418774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78</xdr:row>
      <xdr:rowOff>95250</xdr:rowOff>
    </xdr:from>
    <xdr:to>
      <xdr:col>5</xdr:col>
      <xdr:colOff>2143125</xdr:colOff>
      <xdr:row>78</xdr:row>
      <xdr:rowOff>247650</xdr:rowOff>
    </xdr:to>
    <xdr:sp macro="" textlink="">
      <xdr:nvSpPr>
        <xdr:cNvPr id="836" name="Rectangle 835">
          <a:extLst>
            <a:ext uri="{FF2B5EF4-FFF2-40B4-BE49-F238E27FC236}">
              <a16:creationId xmlns:a16="http://schemas.microsoft.com/office/drawing/2014/main" id="{00000000-0008-0000-0700-000044030000}"/>
            </a:ext>
          </a:extLst>
        </xdr:cNvPr>
        <xdr:cNvSpPr/>
      </xdr:nvSpPr>
      <xdr:spPr>
        <a:xfrm>
          <a:off x="12670631" y="133492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78</xdr:row>
      <xdr:rowOff>1771650</xdr:rowOff>
    </xdr:from>
    <xdr:to>
      <xdr:col>5</xdr:col>
      <xdr:colOff>2139043</xdr:colOff>
      <xdr:row>78</xdr:row>
      <xdr:rowOff>1924050</xdr:rowOff>
    </xdr:to>
    <xdr:sp macro="" textlink="">
      <xdr:nvSpPr>
        <xdr:cNvPr id="837" name="Rectangle 836">
          <a:extLst>
            <a:ext uri="{FF2B5EF4-FFF2-40B4-BE49-F238E27FC236}">
              <a16:creationId xmlns:a16="http://schemas.microsoft.com/office/drawing/2014/main" id="{00000000-0008-0000-0700-000045030000}"/>
            </a:ext>
          </a:extLst>
        </xdr:cNvPr>
        <xdr:cNvSpPr/>
      </xdr:nvSpPr>
      <xdr:spPr>
        <a:xfrm>
          <a:off x="12666549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78</xdr:row>
      <xdr:rowOff>533618</xdr:rowOff>
    </xdr:from>
    <xdr:to>
      <xdr:col>5</xdr:col>
      <xdr:colOff>2096582</xdr:colOff>
      <xdr:row>78</xdr:row>
      <xdr:rowOff>579337</xdr:rowOff>
    </xdr:to>
    <xdr:sp macro="" textlink="">
      <xdr:nvSpPr>
        <xdr:cNvPr id="838" name="Rectangle 837">
          <a:extLst>
            <a:ext uri="{FF2B5EF4-FFF2-40B4-BE49-F238E27FC236}">
              <a16:creationId xmlns:a16="http://schemas.microsoft.com/office/drawing/2014/main" id="{00000000-0008-0000-0700-000046030000}"/>
            </a:ext>
          </a:extLst>
        </xdr:cNvPr>
        <xdr:cNvSpPr/>
      </xdr:nvSpPr>
      <xdr:spPr>
        <a:xfrm>
          <a:off x="11431082" y="13393124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78</xdr:row>
      <xdr:rowOff>984723</xdr:rowOff>
    </xdr:from>
    <xdr:to>
      <xdr:col>5</xdr:col>
      <xdr:colOff>2107406</xdr:colOff>
      <xdr:row>78</xdr:row>
      <xdr:rowOff>1030442</xdr:rowOff>
    </xdr:to>
    <xdr:sp macro="" textlink="">
      <xdr:nvSpPr>
        <xdr:cNvPr id="842" name="Rectangle 841">
          <a:extLst>
            <a:ext uri="{FF2B5EF4-FFF2-40B4-BE49-F238E27FC236}">
              <a16:creationId xmlns:a16="http://schemas.microsoft.com/office/drawing/2014/main" id="{00000000-0008-0000-0700-00004A030000}"/>
            </a:ext>
          </a:extLst>
        </xdr:cNvPr>
        <xdr:cNvSpPr/>
      </xdr:nvSpPr>
      <xdr:spPr>
        <a:xfrm>
          <a:off x="11441906" y="13438234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78</xdr:row>
      <xdr:rowOff>443346</xdr:rowOff>
    </xdr:from>
    <xdr:to>
      <xdr:col>5</xdr:col>
      <xdr:colOff>1219433</xdr:colOff>
      <xdr:row>78</xdr:row>
      <xdr:rowOff>670480</xdr:rowOff>
    </xdr:to>
    <xdr:sp macro="" textlink="">
      <xdr:nvSpPr>
        <xdr:cNvPr id="843" name="Organigramme : Jonction de sommaire 842">
          <a:extLst>
            <a:ext uri="{FF2B5EF4-FFF2-40B4-BE49-F238E27FC236}">
              <a16:creationId xmlns:a16="http://schemas.microsoft.com/office/drawing/2014/main" id="{00000000-0008-0000-0700-00004B030000}"/>
            </a:ext>
          </a:extLst>
        </xdr:cNvPr>
        <xdr:cNvSpPr/>
      </xdr:nvSpPr>
      <xdr:spPr>
        <a:xfrm>
          <a:off x="11662496" y="1459567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78</xdr:row>
      <xdr:rowOff>444178</xdr:rowOff>
    </xdr:from>
    <xdr:to>
      <xdr:col>5</xdr:col>
      <xdr:colOff>1835393</xdr:colOff>
      <xdr:row>78</xdr:row>
      <xdr:rowOff>671312</xdr:rowOff>
    </xdr:to>
    <xdr:sp macro="" textlink="">
      <xdr:nvSpPr>
        <xdr:cNvPr id="844" name="Organigramme : Jonction de sommaire 843">
          <a:extLst>
            <a:ext uri="{FF2B5EF4-FFF2-40B4-BE49-F238E27FC236}">
              <a16:creationId xmlns:a16="http://schemas.microsoft.com/office/drawing/2014/main" id="{00000000-0008-0000-0700-00004C030000}"/>
            </a:ext>
          </a:extLst>
        </xdr:cNvPr>
        <xdr:cNvSpPr/>
      </xdr:nvSpPr>
      <xdr:spPr>
        <a:xfrm>
          <a:off x="12278456" y="1459576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78</xdr:row>
      <xdr:rowOff>1452313</xdr:rowOff>
    </xdr:from>
    <xdr:to>
      <xdr:col>5</xdr:col>
      <xdr:colOff>2116065</xdr:colOff>
      <xdr:row>78</xdr:row>
      <xdr:rowOff>1498032</xdr:rowOff>
    </xdr:to>
    <xdr:sp macro="" textlink="">
      <xdr:nvSpPr>
        <xdr:cNvPr id="845" name="Rectangle 844">
          <a:extLst>
            <a:ext uri="{FF2B5EF4-FFF2-40B4-BE49-F238E27FC236}">
              <a16:creationId xmlns:a16="http://schemas.microsoft.com/office/drawing/2014/main" id="{00000000-0008-0000-0700-00004D030000}"/>
            </a:ext>
          </a:extLst>
        </xdr:cNvPr>
        <xdr:cNvSpPr/>
      </xdr:nvSpPr>
      <xdr:spPr>
        <a:xfrm>
          <a:off x="11450565" y="13484993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733425</xdr:colOff>
      <xdr:row>79</xdr:row>
      <xdr:rowOff>104775</xdr:rowOff>
    </xdr:from>
    <xdr:to>
      <xdr:col>5</xdr:col>
      <xdr:colOff>885825</xdr:colOff>
      <xdr:row>79</xdr:row>
      <xdr:rowOff>257175</xdr:rowOff>
    </xdr:to>
    <xdr:sp macro="" textlink="">
      <xdr:nvSpPr>
        <xdr:cNvPr id="868" name="Rectangle 867">
          <a:extLst>
            <a:ext uri="{FF2B5EF4-FFF2-40B4-BE49-F238E27FC236}">
              <a16:creationId xmlns:a16="http://schemas.microsoft.com/office/drawing/2014/main" id="{00000000-0008-0000-0700-000064030000}"/>
            </a:ext>
          </a:extLst>
        </xdr:cNvPr>
        <xdr:cNvSpPr/>
      </xdr:nvSpPr>
      <xdr:spPr>
        <a:xfrm>
          <a:off x="11413331" y="133502400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738868</xdr:colOff>
      <xdr:row>79</xdr:row>
      <xdr:rowOff>1771650</xdr:rowOff>
    </xdr:from>
    <xdr:to>
      <xdr:col>5</xdr:col>
      <xdr:colOff>891268</xdr:colOff>
      <xdr:row>79</xdr:row>
      <xdr:rowOff>1924050</xdr:rowOff>
    </xdr:to>
    <xdr:sp macro="" textlink="">
      <xdr:nvSpPr>
        <xdr:cNvPr id="869" name="Rectangle 868">
          <a:extLst>
            <a:ext uri="{FF2B5EF4-FFF2-40B4-BE49-F238E27FC236}">
              <a16:creationId xmlns:a16="http://schemas.microsoft.com/office/drawing/2014/main" id="{00000000-0008-0000-0700-000065030000}"/>
            </a:ext>
          </a:extLst>
        </xdr:cNvPr>
        <xdr:cNvSpPr/>
      </xdr:nvSpPr>
      <xdr:spPr>
        <a:xfrm>
          <a:off x="11418774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1990725</xdr:colOff>
      <xdr:row>79</xdr:row>
      <xdr:rowOff>95250</xdr:rowOff>
    </xdr:from>
    <xdr:to>
      <xdr:col>5</xdr:col>
      <xdr:colOff>2143125</xdr:colOff>
      <xdr:row>79</xdr:row>
      <xdr:rowOff>247650</xdr:rowOff>
    </xdr:to>
    <xdr:sp macro="" textlink="">
      <xdr:nvSpPr>
        <xdr:cNvPr id="870" name="Rectangle 869">
          <a:extLst>
            <a:ext uri="{FF2B5EF4-FFF2-40B4-BE49-F238E27FC236}">
              <a16:creationId xmlns:a16="http://schemas.microsoft.com/office/drawing/2014/main" id="{00000000-0008-0000-0700-000066030000}"/>
            </a:ext>
          </a:extLst>
        </xdr:cNvPr>
        <xdr:cNvSpPr/>
      </xdr:nvSpPr>
      <xdr:spPr>
        <a:xfrm>
          <a:off x="12670631" y="1334928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1986643</xdr:colOff>
      <xdr:row>79</xdr:row>
      <xdr:rowOff>1771650</xdr:rowOff>
    </xdr:from>
    <xdr:to>
      <xdr:col>5</xdr:col>
      <xdr:colOff>2139043</xdr:colOff>
      <xdr:row>79</xdr:row>
      <xdr:rowOff>1924050</xdr:rowOff>
    </xdr:to>
    <xdr:sp macro="" textlink="">
      <xdr:nvSpPr>
        <xdr:cNvPr id="871" name="Rectangle 870">
          <a:extLst>
            <a:ext uri="{FF2B5EF4-FFF2-40B4-BE49-F238E27FC236}">
              <a16:creationId xmlns:a16="http://schemas.microsoft.com/office/drawing/2014/main" id="{00000000-0008-0000-0700-000067030000}"/>
            </a:ext>
          </a:extLst>
        </xdr:cNvPr>
        <xdr:cNvSpPr/>
      </xdr:nvSpPr>
      <xdr:spPr>
        <a:xfrm>
          <a:off x="12666549" y="13516927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751176</xdr:colOff>
      <xdr:row>79</xdr:row>
      <xdr:rowOff>533618</xdr:rowOff>
    </xdr:from>
    <xdr:to>
      <xdr:col>5</xdr:col>
      <xdr:colOff>2096582</xdr:colOff>
      <xdr:row>79</xdr:row>
      <xdr:rowOff>579337</xdr:rowOff>
    </xdr:to>
    <xdr:sp macro="" textlink="">
      <xdr:nvSpPr>
        <xdr:cNvPr id="872" name="Rectangle 871">
          <a:extLst>
            <a:ext uri="{FF2B5EF4-FFF2-40B4-BE49-F238E27FC236}">
              <a16:creationId xmlns:a16="http://schemas.microsoft.com/office/drawing/2014/main" id="{00000000-0008-0000-0700-000068030000}"/>
            </a:ext>
          </a:extLst>
        </xdr:cNvPr>
        <xdr:cNvSpPr/>
      </xdr:nvSpPr>
      <xdr:spPr>
        <a:xfrm>
          <a:off x="11431082" y="133931243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974147</xdr:colOff>
      <xdr:row>79</xdr:row>
      <xdr:rowOff>449441</xdr:rowOff>
    </xdr:from>
    <xdr:to>
      <xdr:col>5</xdr:col>
      <xdr:colOff>1208609</xdr:colOff>
      <xdr:row>79</xdr:row>
      <xdr:rowOff>676575</xdr:rowOff>
    </xdr:to>
    <xdr:sp macro="" textlink="">
      <xdr:nvSpPr>
        <xdr:cNvPr id="873" name="Organigramme : Jonction de sommaire 872">
          <a:extLst>
            <a:ext uri="{FF2B5EF4-FFF2-40B4-BE49-F238E27FC236}">
              <a16:creationId xmlns:a16="http://schemas.microsoft.com/office/drawing/2014/main" id="{00000000-0008-0000-0700-000069030000}"/>
            </a:ext>
          </a:extLst>
        </xdr:cNvPr>
        <xdr:cNvSpPr/>
      </xdr:nvSpPr>
      <xdr:spPr>
        <a:xfrm>
          <a:off x="11654053" y="1338470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1590107</xdr:colOff>
      <xdr:row>79</xdr:row>
      <xdr:rowOff>450273</xdr:rowOff>
    </xdr:from>
    <xdr:to>
      <xdr:col>5</xdr:col>
      <xdr:colOff>1824569</xdr:colOff>
      <xdr:row>79</xdr:row>
      <xdr:rowOff>677407</xdr:rowOff>
    </xdr:to>
    <xdr:sp macro="" textlink="">
      <xdr:nvSpPr>
        <xdr:cNvPr id="874" name="Organigramme : Jonction de sommaire 873">
          <a:extLst>
            <a:ext uri="{FF2B5EF4-FFF2-40B4-BE49-F238E27FC236}">
              <a16:creationId xmlns:a16="http://schemas.microsoft.com/office/drawing/2014/main" id="{00000000-0008-0000-0700-00006A030000}"/>
            </a:ext>
          </a:extLst>
        </xdr:cNvPr>
        <xdr:cNvSpPr/>
      </xdr:nvSpPr>
      <xdr:spPr>
        <a:xfrm>
          <a:off x="12270013" y="13384789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762000</xdr:colOff>
      <xdr:row>79</xdr:row>
      <xdr:rowOff>984723</xdr:rowOff>
    </xdr:from>
    <xdr:to>
      <xdr:col>5</xdr:col>
      <xdr:colOff>2107406</xdr:colOff>
      <xdr:row>79</xdr:row>
      <xdr:rowOff>1030442</xdr:rowOff>
    </xdr:to>
    <xdr:sp macro="" textlink="">
      <xdr:nvSpPr>
        <xdr:cNvPr id="876" name="Rectangle 875">
          <a:extLst>
            <a:ext uri="{FF2B5EF4-FFF2-40B4-BE49-F238E27FC236}">
              <a16:creationId xmlns:a16="http://schemas.microsoft.com/office/drawing/2014/main" id="{00000000-0008-0000-0700-00006C030000}"/>
            </a:ext>
          </a:extLst>
        </xdr:cNvPr>
        <xdr:cNvSpPr/>
      </xdr:nvSpPr>
      <xdr:spPr>
        <a:xfrm>
          <a:off x="11441906" y="13438234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984971</xdr:colOff>
      <xdr:row>79</xdr:row>
      <xdr:rowOff>900546</xdr:rowOff>
    </xdr:from>
    <xdr:to>
      <xdr:col>5</xdr:col>
      <xdr:colOff>1219433</xdr:colOff>
      <xdr:row>79</xdr:row>
      <xdr:rowOff>1127680</xdr:rowOff>
    </xdr:to>
    <xdr:sp macro="" textlink="">
      <xdr:nvSpPr>
        <xdr:cNvPr id="877" name="Organigramme : Jonction de sommaire 876">
          <a:extLst>
            <a:ext uri="{FF2B5EF4-FFF2-40B4-BE49-F238E27FC236}">
              <a16:creationId xmlns:a16="http://schemas.microsoft.com/office/drawing/2014/main" id="{00000000-0008-0000-0700-00006D030000}"/>
            </a:ext>
          </a:extLst>
        </xdr:cNvPr>
        <xdr:cNvSpPr/>
      </xdr:nvSpPr>
      <xdr:spPr>
        <a:xfrm>
          <a:off x="11664877" y="1342981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1600931</xdr:colOff>
      <xdr:row>79</xdr:row>
      <xdr:rowOff>901378</xdr:rowOff>
    </xdr:from>
    <xdr:to>
      <xdr:col>5</xdr:col>
      <xdr:colOff>1835393</xdr:colOff>
      <xdr:row>79</xdr:row>
      <xdr:rowOff>1128512</xdr:rowOff>
    </xdr:to>
    <xdr:sp macro="" textlink="">
      <xdr:nvSpPr>
        <xdr:cNvPr id="878" name="Organigramme : Jonction de sommaire 877">
          <a:extLst>
            <a:ext uri="{FF2B5EF4-FFF2-40B4-BE49-F238E27FC236}">
              <a16:creationId xmlns:a16="http://schemas.microsoft.com/office/drawing/2014/main" id="{00000000-0008-0000-0700-00006E030000}"/>
            </a:ext>
          </a:extLst>
        </xdr:cNvPr>
        <xdr:cNvSpPr/>
      </xdr:nvSpPr>
      <xdr:spPr>
        <a:xfrm>
          <a:off x="12280837" y="13429900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770659</xdr:colOff>
      <xdr:row>79</xdr:row>
      <xdr:rowOff>1452313</xdr:rowOff>
    </xdr:from>
    <xdr:to>
      <xdr:col>5</xdr:col>
      <xdr:colOff>2116065</xdr:colOff>
      <xdr:row>79</xdr:row>
      <xdr:rowOff>1498032</xdr:rowOff>
    </xdr:to>
    <xdr:sp macro="" textlink="">
      <xdr:nvSpPr>
        <xdr:cNvPr id="879" name="Rectangle 878">
          <a:extLst>
            <a:ext uri="{FF2B5EF4-FFF2-40B4-BE49-F238E27FC236}">
              <a16:creationId xmlns:a16="http://schemas.microsoft.com/office/drawing/2014/main" id="{00000000-0008-0000-0700-00006F030000}"/>
            </a:ext>
          </a:extLst>
        </xdr:cNvPr>
        <xdr:cNvSpPr/>
      </xdr:nvSpPr>
      <xdr:spPr>
        <a:xfrm>
          <a:off x="11450565" y="134849938"/>
          <a:ext cx="1345406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993630</xdr:colOff>
      <xdr:row>79</xdr:row>
      <xdr:rowOff>1368136</xdr:rowOff>
    </xdr:from>
    <xdr:to>
      <xdr:col>5</xdr:col>
      <xdr:colOff>1228092</xdr:colOff>
      <xdr:row>79</xdr:row>
      <xdr:rowOff>1595270</xdr:rowOff>
    </xdr:to>
    <xdr:sp macro="" textlink="">
      <xdr:nvSpPr>
        <xdr:cNvPr id="880" name="Organigramme : Jonction de sommaire 879">
          <a:extLst>
            <a:ext uri="{FF2B5EF4-FFF2-40B4-BE49-F238E27FC236}">
              <a16:creationId xmlns:a16="http://schemas.microsoft.com/office/drawing/2014/main" id="{00000000-0008-0000-0700-000070030000}"/>
            </a:ext>
          </a:extLst>
        </xdr:cNvPr>
        <xdr:cNvSpPr/>
      </xdr:nvSpPr>
      <xdr:spPr>
        <a:xfrm>
          <a:off x="11673536" y="13476576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1609590</xdr:colOff>
      <xdr:row>79</xdr:row>
      <xdr:rowOff>1368968</xdr:rowOff>
    </xdr:from>
    <xdr:to>
      <xdr:col>5</xdr:col>
      <xdr:colOff>1844052</xdr:colOff>
      <xdr:row>79</xdr:row>
      <xdr:rowOff>1596102</xdr:rowOff>
    </xdr:to>
    <xdr:sp macro="" textlink="">
      <xdr:nvSpPr>
        <xdr:cNvPr id="881" name="Organigramme : Jonction de sommaire 880">
          <a:extLst>
            <a:ext uri="{FF2B5EF4-FFF2-40B4-BE49-F238E27FC236}">
              <a16:creationId xmlns:a16="http://schemas.microsoft.com/office/drawing/2014/main" id="{00000000-0008-0000-0700-000071030000}"/>
            </a:ext>
          </a:extLst>
        </xdr:cNvPr>
        <xdr:cNvSpPr/>
      </xdr:nvSpPr>
      <xdr:spPr>
        <a:xfrm>
          <a:off x="12289496" y="13476659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80</xdr:row>
      <xdr:rowOff>141539</xdr:rowOff>
    </xdr:from>
    <xdr:to>
      <xdr:col>5</xdr:col>
      <xdr:colOff>506710</xdr:colOff>
      <xdr:row>80</xdr:row>
      <xdr:rowOff>293939</xdr:rowOff>
    </xdr:to>
    <xdr:sp macro="" textlink="">
      <xdr:nvSpPr>
        <xdr:cNvPr id="935" name="Rectangle 934">
          <a:extLst>
            <a:ext uri="{FF2B5EF4-FFF2-40B4-BE49-F238E27FC236}">
              <a16:creationId xmlns:a16="http://schemas.microsoft.com/office/drawing/2014/main" id="{00000000-0008-0000-0700-0000A703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80</xdr:row>
      <xdr:rowOff>1761585</xdr:rowOff>
    </xdr:from>
    <xdr:to>
      <xdr:col>5</xdr:col>
      <xdr:colOff>516724</xdr:colOff>
      <xdr:row>80</xdr:row>
      <xdr:rowOff>1913985</xdr:rowOff>
    </xdr:to>
    <xdr:sp macro="" textlink="">
      <xdr:nvSpPr>
        <xdr:cNvPr id="936" name="Rectangle 935">
          <a:extLst>
            <a:ext uri="{FF2B5EF4-FFF2-40B4-BE49-F238E27FC236}">
              <a16:creationId xmlns:a16="http://schemas.microsoft.com/office/drawing/2014/main" id="{00000000-0008-0000-0700-0000A803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80</xdr:row>
      <xdr:rowOff>123955</xdr:rowOff>
    </xdr:from>
    <xdr:to>
      <xdr:col>5</xdr:col>
      <xdr:colOff>2394126</xdr:colOff>
      <xdr:row>80</xdr:row>
      <xdr:rowOff>276355</xdr:rowOff>
    </xdr:to>
    <xdr:sp macro="" textlink="">
      <xdr:nvSpPr>
        <xdr:cNvPr id="937" name="Rectangle 936">
          <a:extLst>
            <a:ext uri="{FF2B5EF4-FFF2-40B4-BE49-F238E27FC236}">
              <a16:creationId xmlns:a16="http://schemas.microsoft.com/office/drawing/2014/main" id="{00000000-0008-0000-0700-0000A903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80</xdr:row>
      <xdr:rowOff>1790892</xdr:rowOff>
    </xdr:from>
    <xdr:to>
      <xdr:col>5</xdr:col>
      <xdr:colOff>2401941</xdr:colOff>
      <xdr:row>80</xdr:row>
      <xdr:rowOff>1943292</xdr:rowOff>
    </xdr:to>
    <xdr:sp macro="" textlink="">
      <xdr:nvSpPr>
        <xdr:cNvPr id="938" name="Rectangle 937">
          <a:extLst>
            <a:ext uri="{FF2B5EF4-FFF2-40B4-BE49-F238E27FC236}">
              <a16:creationId xmlns:a16="http://schemas.microsoft.com/office/drawing/2014/main" id="{00000000-0008-0000-0700-0000AA03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80</xdr:row>
      <xdr:rowOff>630430</xdr:rowOff>
    </xdr:from>
    <xdr:to>
      <xdr:col>5</xdr:col>
      <xdr:colOff>2327329</xdr:colOff>
      <xdr:row>80</xdr:row>
      <xdr:rowOff>689045</xdr:rowOff>
    </xdr:to>
    <xdr:sp macro="" textlink="">
      <xdr:nvSpPr>
        <xdr:cNvPr id="939" name="Rectangle 938">
          <a:extLst>
            <a:ext uri="{FF2B5EF4-FFF2-40B4-BE49-F238E27FC236}">
              <a16:creationId xmlns:a16="http://schemas.microsoft.com/office/drawing/2014/main" id="{00000000-0008-0000-0700-0000AB03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80</xdr:row>
      <xdr:rowOff>141539</xdr:rowOff>
    </xdr:from>
    <xdr:to>
      <xdr:col>5</xdr:col>
      <xdr:colOff>506710</xdr:colOff>
      <xdr:row>80</xdr:row>
      <xdr:rowOff>293939</xdr:rowOff>
    </xdr:to>
    <xdr:sp macro="" textlink="">
      <xdr:nvSpPr>
        <xdr:cNvPr id="943" name="Rectangle 942">
          <a:extLst>
            <a:ext uri="{FF2B5EF4-FFF2-40B4-BE49-F238E27FC236}">
              <a16:creationId xmlns:a16="http://schemas.microsoft.com/office/drawing/2014/main" id="{00000000-0008-0000-0700-0000AF03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80</xdr:row>
      <xdr:rowOff>1761585</xdr:rowOff>
    </xdr:from>
    <xdr:to>
      <xdr:col>5</xdr:col>
      <xdr:colOff>516724</xdr:colOff>
      <xdr:row>80</xdr:row>
      <xdr:rowOff>1913985</xdr:rowOff>
    </xdr:to>
    <xdr:sp macro="" textlink="">
      <xdr:nvSpPr>
        <xdr:cNvPr id="944" name="Rectangle 943">
          <a:extLst>
            <a:ext uri="{FF2B5EF4-FFF2-40B4-BE49-F238E27FC236}">
              <a16:creationId xmlns:a16="http://schemas.microsoft.com/office/drawing/2014/main" id="{00000000-0008-0000-0700-0000B003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80</xdr:row>
      <xdr:rowOff>123955</xdr:rowOff>
    </xdr:from>
    <xdr:to>
      <xdr:col>5</xdr:col>
      <xdr:colOff>2394126</xdr:colOff>
      <xdr:row>80</xdr:row>
      <xdr:rowOff>276355</xdr:rowOff>
    </xdr:to>
    <xdr:sp macro="" textlink="">
      <xdr:nvSpPr>
        <xdr:cNvPr id="945" name="Rectangle 944">
          <a:extLst>
            <a:ext uri="{FF2B5EF4-FFF2-40B4-BE49-F238E27FC236}">
              <a16:creationId xmlns:a16="http://schemas.microsoft.com/office/drawing/2014/main" id="{00000000-0008-0000-0700-0000B103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80</xdr:row>
      <xdr:rowOff>1790892</xdr:rowOff>
    </xdr:from>
    <xdr:to>
      <xdr:col>5</xdr:col>
      <xdr:colOff>2401941</xdr:colOff>
      <xdr:row>80</xdr:row>
      <xdr:rowOff>1943292</xdr:rowOff>
    </xdr:to>
    <xdr:sp macro="" textlink="">
      <xdr:nvSpPr>
        <xdr:cNvPr id="946" name="Rectangle 945">
          <a:extLst>
            <a:ext uri="{FF2B5EF4-FFF2-40B4-BE49-F238E27FC236}">
              <a16:creationId xmlns:a16="http://schemas.microsoft.com/office/drawing/2014/main" id="{00000000-0008-0000-0700-0000B203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80</xdr:row>
      <xdr:rowOff>1455929</xdr:rowOff>
    </xdr:from>
    <xdr:to>
      <xdr:col>5</xdr:col>
      <xdr:colOff>2315483</xdr:colOff>
      <xdr:row>80</xdr:row>
      <xdr:rowOff>1514544</xdr:rowOff>
    </xdr:to>
    <xdr:sp macro="" textlink="">
      <xdr:nvSpPr>
        <xdr:cNvPr id="952" name="Rectangle 951">
          <a:extLst>
            <a:ext uri="{FF2B5EF4-FFF2-40B4-BE49-F238E27FC236}">
              <a16:creationId xmlns:a16="http://schemas.microsoft.com/office/drawing/2014/main" id="{00000000-0008-0000-0700-0000B803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80</xdr:row>
      <xdr:rowOff>1057467</xdr:rowOff>
    </xdr:from>
    <xdr:to>
      <xdr:col>5</xdr:col>
      <xdr:colOff>2307546</xdr:colOff>
      <xdr:row>80</xdr:row>
      <xdr:rowOff>1116082</xdr:rowOff>
    </xdr:to>
    <xdr:sp macro="" textlink="">
      <xdr:nvSpPr>
        <xdr:cNvPr id="957" name="Rectangle 956">
          <a:extLst>
            <a:ext uri="{FF2B5EF4-FFF2-40B4-BE49-F238E27FC236}">
              <a16:creationId xmlns:a16="http://schemas.microsoft.com/office/drawing/2014/main" id="{00000000-0008-0000-0700-0000BD03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81</xdr:row>
      <xdr:rowOff>141539</xdr:rowOff>
    </xdr:from>
    <xdr:to>
      <xdr:col>5</xdr:col>
      <xdr:colOff>506710</xdr:colOff>
      <xdr:row>81</xdr:row>
      <xdr:rowOff>293939</xdr:rowOff>
    </xdr:to>
    <xdr:sp macro="" textlink="">
      <xdr:nvSpPr>
        <xdr:cNvPr id="1515" name="Rectangle 1514">
          <a:extLst>
            <a:ext uri="{FF2B5EF4-FFF2-40B4-BE49-F238E27FC236}">
              <a16:creationId xmlns:a16="http://schemas.microsoft.com/office/drawing/2014/main" id="{00000000-0008-0000-0700-0000EB05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81</xdr:row>
      <xdr:rowOff>1761585</xdr:rowOff>
    </xdr:from>
    <xdr:to>
      <xdr:col>5</xdr:col>
      <xdr:colOff>516724</xdr:colOff>
      <xdr:row>81</xdr:row>
      <xdr:rowOff>1913985</xdr:rowOff>
    </xdr:to>
    <xdr:sp macro="" textlink="">
      <xdr:nvSpPr>
        <xdr:cNvPr id="1516" name="Rectangle 1515">
          <a:extLst>
            <a:ext uri="{FF2B5EF4-FFF2-40B4-BE49-F238E27FC236}">
              <a16:creationId xmlns:a16="http://schemas.microsoft.com/office/drawing/2014/main" id="{00000000-0008-0000-0700-0000EC05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81</xdr:row>
      <xdr:rowOff>123955</xdr:rowOff>
    </xdr:from>
    <xdr:to>
      <xdr:col>5</xdr:col>
      <xdr:colOff>2394126</xdr:colOff>
      <xdr:row>81</xdr:row>
      <xdr:rowOff>276355</xdr:rowOff>
    </xdr:to>
    <xdr:sp macro="" textlink="">
      <xdr:nvSpPr>
        <xdr:cNvPr id="1517" name="Rectangle 1516">
          <a:extLst>
            <a:ext uri="{FF2B5EF4-FFF2-40B4-BE49-F238E27FC236}">
              <a16:creationId xmlns:a16="http://schemas.microsoft.com/office/drawing/2014/main" id="{00000000-0008-0000-0700-0000ED05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81</xdr:row>
      <xdr:rowOff>1790892</xdr:rowOff>
    </xdr:from>
    <xdr:to>
      <xdr:col>5</xdr:col>
      <xdr:colOff>2401941</xdr:colOff>
      <xdr:row>81</xdr:row>
      <xdr:rowOff>1943292</xdr:rowOff>
    </xdr:to>
    <xdr:sp macro="" textlink="">
      <xdr:nvSpPr>
        <xdr:cNvPr id="1518" name="Rectangle 1517">
          <a:extLst>
            <a:ext uri="{FF2B5EF4-FFF2-40B4-BE49-F238E27FC236}">
              <a16:creationId xmlns:a16="http://schemas.microsoft.com/office/drawing/2014/main" id="{00000000-0008-0000-0700-0000EE05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81</xdr:row>
      <xdr:rowOff>630430</xdr:rowOff>
    </xdr:from>
    <xdr:to>
      <xdr:col>5</xdr:col>
      <xdr:colOff>2327329</xdr:colOff>
      <xdr:row>81</xdr:row>
      <xdr:rowOff>689045</xdr:rowOff>
    </xdr:to>
    <xdr:sp macro="" textlink="">
      <xdr:nvSpPr>
        <xdr:cNvPr id="1519" name="Rectangle 1518">
          <a:extLst>
            <a:ext uri="{FF2B5EF4-FFF2-40B4-BE49-F238E27FC236}">
              <a16:creationId xmlns:a16="http://schemas.microsoft.com/office/drawing/2014/main" id="{00000000-0008-0000-0700-0000EF05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81</xdr:row>
      <xdr:rowOff>141539</xdr:rowOff>
    </xdr:from>
    <xdr:to>
      <xdr:col>5</xdr:col>
      <xdr:colOff>506710</xdr:colOff>
      <xdr:row>81</xdr:row>
      <xdr:rowOff>293939</xdr:rowOff>
    </xdr:to>
    <xdr:sp macro="" textlink="">
      <xdr:nvSpPr>
        <xdr:cNvPr id="1523" name="Rectangle 1522">
          <a:extLst>
            <a:ext uri="{FF2B5EF4-FFF2-40B4-BE49-F238E27FC236}">
              <a16:creationId xmlns:a16="http://schemas.microsoft.com/office/drawing/2014/main" id="{00000000-0008-0000-0700-0000F305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81</xdr:row>
      <xdr:rowOff>1761585</xdr:rowOff>
    </xdr:from>
    <xdr:to>
      <xdr:col>5</xdr:col>
      <xdr:colOff>516724</xdr:colOff>
      <xdr:row>81</xdr:row>
      <xdr:rowOff>1913985</xdr:rowOff>
    </xdr:to>
    <xdr:sp macro="" textlink="">
      <xdr:nvSpPr>
        <xdr:cNvPr id="1524" name="Rectangle 1523">
          <a:extLst>
            <a:ext uri="{FF2B5EF4-FFF2-40B4-BE49-F238E27FC236}">
              <a16:creationId xmlns:a16="http://schemas.microsoft.com/office/drawing/2014/main" id="{00000000-0008-0000-0700-0000F405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81</xdr:row>
      <xdr:rowOff>123955</xdr:rowOff>
    </xdr:from>
    <xdr:to>
      <xdr:col>5</xdr:col>
      <xdr:colOff>2394126</xdr:colOff>
      <xdr:row>81</xdr:row>
      <xdr:rowOff>276355</xdr:rowOff>
    </xdr:to>
    <xdr:sp macro="" textlink="">
      <xdr:nvSpPr>
        <xdr:cNvPr id="1525" name="Rectangle 1524">
          <a:extLst>
            <a:ext uri="{FF2B5EF4-FFF2-40B4-BE49-F238E27FC236}">
              <a16:creationId xmlns:a16="http://schemas.microsoft.com/office/drawing/2014/main" id="{00000000-0008-0000-0700-0000F505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81</xdr:row>
      <xdr:rowOff>1790892</xdr:rowOff>
    </xdr:from>
    <xdr:to>
      <xdr:col>5</xdr:col>
      <xdr:colOff>2401941</xdr:colOff>
      <xdr:row>81</xdr:row>
      <xdr:rowOff>1943292</xdr:rowOff>
    </xdr:to>
    <xdr:sp macro="" textlink="">
      <xdr:nvSpPr>
        <xdr:cNvPr id="1526" name="Rectangle 1525">
          <a:extLst>
            <a:ext uri="{FF2B5EF4-FFF2-40B4-BE49-F238E27FC236}">
              <a16:creationId xmlns:a16="http://schemas.microsoft.com/office/drawing/2014/main" id="{00000000-0008-0000-0700-0000F605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81</xdr:row>
      <xdr:rowOff>1455929</xdr:rowOff>
    </xdr:from>
    <xdr:to>
      <xdr:col>5</xdr:col>
      <xdr:colOff>2315483</xdr:colOff>
      <xdr:row>81</xdr:row>
      <xdr:rowOff>1514544</xdr:rowOff>
    </xdr:to>
    <xdr:sp macro="" textlink="">
      <xdr:nvSpPr>
        <xdr:cNvPr id="1532" name="Rectangle 1531">
          <a:extLst>
            <a:ext uri="{FF2B5EF4-FFF2-40B4-BE49-F238E27FC236}">
              <a16:creationId xmlns:a16="http://schemas.microsoft.com/office/drawing/2014/main" id="{00000000-0008-0000-0700-0000FC05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81</xdr:row>
      <xdr:rowOff>1057467</xdr:rowOff>
    </xdr:from>
    <xdr:to>
      <xdr:col>5</xdr:col>
      <xdr:colOff>2307546</xdr:colOff>
      <xdr:row>81</xdr:row>
      <xdr:rowOff>1116082</xdr:rowOff>
    </xdr:to>
    <xdr:sp macro="" textlink="">
      <xdr:nvSpPr>
        <xdr:cNvPr id="1537" name="Rectangle 1536">
          <a:extLst>
            <a:ext uri="{FF2B5EF4-FFF2-40B4-BE49-F238E27FC236}">
              <a16:creationId xmlns:a16="http://schemas.microsoft.com/office/drawing/2014/main" id="{00000000-0008-0000-0700-00000106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792075</xdr:colOff>
      <xdr:row>81</xdr:row>
      <xdr:rowOff>1383515</xdr:rowOff>
    </xdr:from>
    <xdr:to>
      <xdr:col>5</xdr:col>
      <xdr:colOff>1026537</xdr:colOff>
      <xdr:row>81</xdr:row>
      <xdr:rowOff>1610649</xdr:rowOff>
    </xdr:to>
    <xdr:sp macro="" textlink="">
      <xdr:nvSpPr>
        <xdr:cNvPr id="1538" name="Organigramme : Jonction de sommaire 1537">
          <a:extLst>
            <a:ext uri="{FF2B5EF4-FFF2-40B4-BE49-F238E27FC236}">
              <a16:creationId xmlns:a16="http://schemas.microsoft.com/office/drawing/2014/main" id="{00000000-0008-0000-0700-000002060000}"/>
            </a:ext>
          </a:extLst>
        </xdr:cNvPr>
        <xdr:cNvSpPr/>
      </xdr:nvSpPr>
      <xdr:spPr>
        <a:xfrm>
          <a:off x="11469600" y="16312754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1643935</xdr:colOff>
      <xdr:row>81</xdr:row>
      <xdr:rowOff>1381316</xdr:rowOff>
    </xdr:from>
    <xdr:to>
      <xdr:col>5</xdr:col>
      <xdr:colOff>1878397</xdr:colOff>
      <xdr:row>81</xdr:row>
      <xdr:rowOff>1608450</xdr:rowOff>
    </xdr:to>
    <xdr:sp macro="" textlink="">
      <xdr:nvSpPr>
        <xdr:cNvPr id="1539" name="Organigramme : Jonction de sommaire 1538">
          <a:extLst>
            <a:ext uri="{FF2B5EF4-FFF2-40B4-BE49-F238E27FC236}">
              <a16:creationId xmlns:a16="http://schemas.microsoft.com/office/drawing/2014/main" id="{00000000-0008-0000-0700-000003060000}"/>
            </a:ext>
          </a:extLst>
        </xdr:cNvPr>
        <xdr:cNvSpPr/>
      </xdr:nvSpPr>
      <xdr:spPr>
        <a:xfrm>
          <a:off x="12321460" y="16312534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82</xdr:row>
      <xdr:rowOff>141539</xdr:rowOff>
    </xdr:from>
    <xdr:to>
      <xdr:col>5</xdr:col>
      <xdr:colOff>506710</xdr:colOff>
      <xdr:row>82</xdr:row>
      <xdr:rowOff>293939</xdr:rowOff>
    </xdr:to>
    <xdr:sp macro="" textlink="">
      <xdr:nvSpPr>
        <xdr:cNvPr id="2081" name="Rectangle 2080">
          <a:extLst>
            <a:ext uri="{FF2B5EF4-FFF2-40B4-BE49-F238E27FC236}">
              <a16:creationId xmlns:a16="http://schemas.microsoft.com/office/drawing/2014/main" id="{00000000-0008-0000-0700-000021080000}"/>
            </a:ext>
          </a:extLst>
        </xdr:cNvPr>
        <xdr:cNvSpPr/>
      </xdr:nvSpPr>
      <xdr:spPr>
        <a:xfrm>
          <a:off x="11049524" y="16374021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82</xdr:row>
      <xdr:rowOff>1761585</xdr:rowOff>
    </xdr:from>
    <xdr:to>
      <xdr:col>5</xdr:col>
      <xdr:colOff>516724</xdr:colOff>
      <xdr:row>82</xdr:row>
      <xdr:rowOff>1913985</xdr:rowOff>
    </xdr:to>
    <xdr:sp macro="" textlink="">
      <xdr:nvSpPr>
        <xdr:cNvPr id="2082" name="Rectangle 2081">
          <a:extLst>
            <a:ext uri="{FF2B5EF4-FFF2-40B4-BE49-F238E27FC236}">
              <a16:creationId xmlns:a16="http://schemas.microsoft.com/office/drawing/2014/main" id="{00000000-0008-0000-0700-000022080000}"/>
            </a:ext>
          </a:extLst>
        </xdr:cNvPr>
        <xdr:cNvSpPr/>
      </xdr:nvSpPr>
      <xdr:spPr>
        <a:xfrm>
          <a:off x="11059538" y="16536026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82</xdr:row>
      <xdr:rowOff>123955</xdr:rowOff>
    </xdr:from>
    <xdr:to>
      <xdr:col>5</xdr:col>
      <xdr:colOff>2394126</xdr:colOff>
      <xdr:row>82</xdr:row>
      <xdr:rowOff>276355</xdr:rowOff>
    </xdr:to>
    <xdr:sp macro="" textlink="">
      <xdr:nvSpPr>
        <xdr:cNvPr id="2083" name="Rectangle 2082">
          <a:extLst>
            <a:ext uri="{FF2B5EF4-FFF2-40B4-BE49-F238E27FC236}">
              <a16:creationId xmlns:a16="http://schemas.microsoft.com/office/drawing/2014/main" id="{00000000-0008-0000-0700-000023080000}"/>
            </a:ext>
          </a:extLst>
        </xdr:cNvPr>
        <xdr:cNvSpPr/>
      </xdr:nvSpPr>
      <xdr:spPr>
        <a:xfrm>
          <a:off x="12936940" y="1637226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82</xdr:row>
      <xdr:rowOff>1790892</xdr:rowOff>
    </xdr:from>
    <xdr:to>
      <xdr:col>5</xdr:col>
      <xdr:colOff>2401941</xdr:colOff>
      <xdr:row>82</xdr:row>
      <xdr:rowOff>1943292</xdr:rowOff>
    </xdr:to>
    <xdr:sp macro="" textlink="">
      <xdr:nvSpPr>
        <xdr:cNvPr id="2084" name="Rectangle 2083">
          <a:extLst>
            <a:ext uri="{FF2B5EF4-FFF2-40B4-BE49-F238E27FC236}">
              <a16:creationId xmlns:a16="http://schemas.microsoft.com/office/drawing/2014/main" id="{00000000-0008-0000-0700-000024080000}"/>
            </a:ext>
          </a:extLst>
        </xdr:cNvPr>
        <xdr:cNvSpPr/>
      </xdr:nvSpPr>
      <xdr:spPr>
        <a:xfrm>
          <a:off x="12944755" y="16538957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82</xdr:row>
      <xdr:rowOff>630430</xdr:rowOff>
    </xdr:from>
    <xdr:to>
      <xdr:col>5</xdr:col>
      <xdr:colOff>2327329</xdr:colOff>
      <xdr:row>82</xdr:row>
      <xdr:rowOff>689045</xdr:rowOff>
    </xdr:to>
    <xdr:sp macro="" textlink="">
      <xdr:nvSpPr>
        <xdr:cNvPr id="2085" name="Rectangle 2084">
          <a:extLst>
            <a:ext uri="{FF2B5EF4-FFF2-40B4-BE49-F238E27FC236}">
              <a16:creationId xmlns:a16="http://schemas.microsoft.com/office/drawing/2014/main" id="{00000000-0008-0000-0700-000025080000}"/>
            </a:ext>
          </a:extLst>
        </xdr:cNvPr>
        <xdr:cNvSpPr/>
      </xdr:nvSpPr>
      <xdr:spPr>
        <a:xfrm>
          <a:off x="11117543" y="16422910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82</xdr:row>
      <xdr:rowOff>141539</xdr:rowOff>
    </xdr:from>
    <xdr:to>
      <xdr:col>5</xdr:col>
      <xdr:colOff>506710</xdr:colOff>
      <xdr:row>82</xdr:row>
      <xdr:rowOff>293939</xdr:rowOff>
    </xdr:to>
    <xdr:sp macro="" textlink="">
      <xdr:nvSpPr>
        <xdr:cNvPr id="2086" name="Rectangle 2085">
          <a:extLst>
            <a:ext uri="{FF2B5EF4-FFF2-40B4-BE49-F238E27FC236}">
              <a16:creationId xmlns:a16="http://schemas.microsoft.com/office/drawing/2014/main" id="{00000000-0008-0000-0700-000026080000}"/>
            </a:ext>
          </a:extLst>
        </xdr:cNvPr>
        <xdr:cNvSpPr/>
      </xdr:nvSpPr>
      <xdr:spPr>
        <a:xfrm>
          <a:off x="11049524" y="16374021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82</xdr:row>
      <xdr:rowOff>1761585</xdr:rowOff>
    </xdr:from>
    <xdr:to>
      <xdr:col>5</xdr:col>
      <xdr:colOff>516724</xdr:colOff>
      <xdr:row>82</xdr:row>
      <xdr:rowOff>1913985</xdr:rowOff>
    </xdr:to>
    <xdr:sp macro="" textlink="">
      <xdr:nvSpPr>
        <xdr:cNvPr id="2087" name="Rectangle 2086">
          <a:extLst>
            <a:ext uri="{FF2B5EF4-FFF2-40B4-BE49-F238E27FC236}">
              <a16:creationId xmlns:a16="http://schemas.microsoft.com/office/drawing/2014/main" id="{00000000-0008-0000-0700-000027080000}"/>
            </a:ext>
          </a:extLst>
        </xdr:cNvPr>
        <xdr:cNvSpPr/>
      </xdr:nvSpPr>
      <xdr:spPr>
        <a:xfrm>
          <a:off x="11059538" y="16536026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82</xdr:row>
      <xdr:rowOff>123955</xdr:rowOff>
    </xdr:from>
    <xdr:to>
      <xdr:col>5</xdr:col>
      <xdr:colOff>2394126</xdr:colOff>
      <xdr:row>82</xdr:row>
      <xdr:rowOff>276355</xdr:rowOff>
    </xdr:to>
    <xdr:sp macro="" textlink="">
      <xdr:nvSpPr>
        <xdr:cNvPr id="2088" name="Rectangle 2087">
          <a:extLst>
            <a:ext uri="{FF2B5EF4-FFF2-40B4-BE49-F238E27FC236}">
              <a16:creationId xmlns:a16="http://schemas.microsoft.com/office/drawing/2014/main" id="{00000000-0008-0000-0700-000028080000}"/>
            </a:ext>
          </a:extLst>
        </xdr:cNvPr>
        <xdr:cNvSpPr/>
      </xdr:nvSpPr>
      <xdr:spPr>
        <a:xfrm>
          <a:off x="12936940" y="163722634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82</xdr:row>
      <xdr:rowOff>1790892</xdr:rowOff>
    </xdr:from>
    <xdr:to>
      <xdr:col>5</xdr:col>
      <xdr:colOff>2401941</xdr:colOff>
      <xdr:row>82</xdr:row>
      <xdr:rowOff>1943292</xdr:rowOff>
    </xdr:to>
    <xdr:sp macro="" textlink="">
      <xdr:nvSpPr>
        <xdr:cNvPr id="2089" name="Rectangle 2088">
          <a:extLst>
            <a:ext uri="{FF2B5EF4-FFF2-40B4-BE49-F238E27FC236}">
              <a16:creationId xmlns:a16="http://schemas.microsoft.com/office/drawing/2014/main" id="{00000000-0008-0000-0700-000029080000}"/>
            </a:ext>
          </a:extLst>
        </xdr:cNvPr>
        <xdr:cNvSpPr/>
      </xdr:nvSpPr>
      <xdr:spPr>
        <a:xfrm>
          <a:off x="12944755" y="165389571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830908</xdr:colOff>
      <xdr:row>82</xdr:row>
      <xdr:rowOff>546903</xdr:rowOff>
    </xdr:from>
    <xdr:to>
      <xdr:col>5</xdr:col>
      <xdr:colOff>1065370</xdr:colOff>
      <xdr:row>82</xdr:row>
      <xdr:rowOff>774037</xdr:rowOff>
    </xdr:to>
    <xdr:sp macro="" textlink="">
      <xdr:nvSpPr>
        <xdr:cNvPr id="2090" name="Organigramme : Jonction de sommaire 2089">
          <a:extLst>
            <a:ext uri="{FF2B5EF4-FFF2-40B4-BE49-F238E27FC236}">
              <a16:creationId xmlns:a16="http://schemas.microsoft.com/office/drawing/2014/main" id="{00000000-0008-0000-0700-00002A080000}"/>
            </a:ext>
          </a:extLst>
        </xdr:cNvPr>
        <xdr:cNvSpPr/>
      </xdr:nvSpPr>
      <xdr:spPr>
        <a:xfrm>
          <a:off x="11526122" y="16414558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1673243</xdr:colOff>
      <xdr:row>82</xdr:row>
      <xdr:rowOff>554229</xdr:rowOff>
    </xdr:from>
    <xdr:to>
      <xdr:col>5</xdr:col>
      <xdr:colOff>1907705</xdr:colOff>
      <xdr:row>82</xdr:row>
      <xdr:rowOff>781363</xdr:rowOff>
    </xdr:to>
    <xdr:sp macro="" textlink="">
      <xdr:nvSpPr>
        <xdr:cNvPr id="2091" name="Organigramme : Jonction de sommaire 2090">
          <a:extLst>
            <a:ext uri="{FF2B5EF4-FFF2-40B4-BE49-F238E27FC236}">
              <a16:creationId xmlns:a16="http://schemas.microsoft.com/office/drawing/2014/main" id="{00000000-0008-0000-0700-00002B080000}"/>
            </a:ext>
          </a:extLst>
        </xdr:cNvPr>
        <xdr:cNvSpPr/>
      </xdr:nvSpPr>
      <xdr:spPr>
        <a:xfrm>
          <a:off x="12368457" y="164152908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82</xdr:row>
      <xdr:rowOff>1455929</xdr:rowOff>
    </xdr:from>
    <xdr:to>
      <xdr:col>5</xdr:col>
      <xdr:colOff>2315483</xdr:colOff>
      <xdr:row>82</xdr:row>
      <xdr:rowOff>1514544</xdr:rowOff>
    </xdr:to>
    <xdr:sp macro="" textlink="">
      <xdr:nvSpPr>
        <xdr:cNvPr id="2092" name="Rectangle 2091">
          <a:extLst>
            <a:ext uri="{FF2B5EF4-FFF2-40B4-BE49-F238E27FC236}">
              <a16:creationId xmlns:a16="http://schemas.microsoft.com/office/drawing/2014/main" id="{00000000-0008-0000-0700-00002C080000}"/>
            </a:ext>
          </a:extLst>
        </xdr:cNvPr>
        <xdr:cNvSpPr/>
      </xdr:nvSpPr>
      <xdr:spPr>
        <a:xfrm>
          <a:off x="11105697" y="165054608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819062</xdr:colOff>
      <xdr:row>82</xdr:row>
      <xdr:rowOff>1372402</xdr:rowOff>
    </xdr:from>
    <xdr:to>
      <xdr:col>5</xdr:col>
      <xdr:colOff>1053524</xdr:colOff>
      <xdr:row>82</xdr:row>
      <xdr:rowOff>1599536</xdr:rowOff>
    </xdr:to>
    <xdr:sp macro="" textlink="">
      <xdr:nvSpPr>
        <xdr:cNvPr id="2093" name="Organigramme : Jonction de sommaire 2092">
          <a:extLst>
            <a:ext uri="{FF2B5EF4-FFF2-40B4-BE49-F238E27FC236}">
              <a16:creationId xmlns:a16="http://schemas.microsoft.com/office/drawing/2014/main" id="{00000000-0008-0000-0700-00002D080000}"/>
            </a:ext>
          </a:extLst>
        </xdr:cNvPr>
        <xdr:cNvSpPr/>
      </xdr:nvSpPr>
      <xdr:spPr>
        <a:xfrm>
          <a:off x="11514276" y="16497108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1661397</xdr:colOff>
      <xdr:row>82</xdr:row>
      <xdr:rowOff>1379728</xdr:rowOff>
    </xdr:from>
    <xdr:to>
      <xdr:col>5</xdr:col>
      <xdr:colOff>1895859</xdr:colOff>
      <xdr:row>82</xdr:row>
      <xdr:rowOff>1606862</xdr:rowOff>
    </xdr:to>
    <xdr:sp macro="" textlink="">
      <xdr:nvSpPr>
        <xdr:cNvPr id="2094" name="Organigramme : Jonction de sommaire 2093">
          <a:extLst>
            <a:ext uri="{FF2B5EF4-FFF2-40B4-BE49-F238E27FC236}">
              <a16:creationId xmlns:a16="http://schemas.microsoft.com/office/drawing/2014/main" id="{00000000-0008-0000-0700-00002E080000}"/>
            </a:ext>
          </a:extLst>
        </xdr:cNvPr>
        <xdr:cNvSpPr/>
      </xdr:nvSpPr>
      <xdr:spPr>
        <a:xfrm>
          <a:off x="12356611" y="16497840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82</xdr:row>
      <xdr:rowOff>1057467</xdr:rowOff>
    </xdr:from>
    <xdr:to>
      <xdr:col>5</xdr:col>
      <xdr:colOff>2307546</xdr:colOff>
      <xdr:row>82</xdr:row>
      <xdr:rowOff>1116082</xdr:rowOff>
    </xdr:to>
    <xdr:sp macro="" textlink="">
      <xdr:nvSpPr>
        <xdr:cNvPr id="2095" name="Rectangle 2094">
          <a:extLst>
            <a:ext uri="{FF2B5EF4-FFF2-40B4-BE49-F238E27FC236}">
              <a16:creationId xmlns:a16="http://schemas.microsoft.com/office/drawing/2014/main" id="{00000000-0008-0000-0700-00002F080000}"/>
            </a:ext>
          </a:extLst>
        </xdr:cNvPr>
        <xdr:cNvSpPr/>
      </xdr:nvSpPr>
      <xdr:spPr>
        <a:xfrm>
          <a:off x="11097760" y="164656146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811125</xdr:colOff>
      <xdr:row>82</xdr:row>
      <xdr:rowOff>973940</xdr:rowOff>
    </xdr:from>
    <xdr:to>
      <xdr:col>5</xdr:col>
      <xdr:colOff>1045587</xdr:colOff>
      <xdr:row>82</xdr:row>
      <xdr:rowOff>1201074</xdr:rowOff>
    </xdr:to>
    <xdr:sp macro="" textlink="">
      <xdr:nvSpPr>
        <xdr:cNvPr id="2096" name="Organigramme : Jonction de sommaire 2095">
          <a:extLst>
            <a:ext uri="{FF2B5EF4-FFF2-40B4-BE49-F238E27FC236}">
              <a16:creationId xmlns:a16="http://schemas.microsoft.com/office/drawing/2014/main" id="{00000000-0008-0000-0700-000030080000}"/>
            </a:ext>
          </a:extLst>
        </xdr:cNvPr>
        <xdr:cNvSpPr/>
      </xdr:nvSpPr>
      <xdr:spPr>
        <a:xfrm>
          <a:off x="11506339" y="16457261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1653460</xdr:colOff>
      <xdr:row>82</xdr:row>
      <xdr:rowOff>981266</xdr:rowOff>
    </xdr:from>
    <xdr:to>
      <xdr:col>5</xdr:col>
      <xdr:colOff>1887922</xdr:colOff>
      <xdr:row>82</xdr:row>
      <xdr:rowOff>1208400</xdr:rowOff>
    </xdr:to>
    <xdr:sp macro="" textlink="">
      <xdr:nvSpPr>
        <xdr:cNvPr id="2097" name="Organigramme : Jonction de sommaire 2096">
          <a:extLst>
            <a:ext uri="{FF2B5EF4-FFF2-40B4-BE49-F238E27FC236}">
              <a16:creationId xmlns:a16="http://schemas.microsoft.com/office/drawing/2014/main" id="{00000000-0008-0000-0700-000031080000}"/>
            </a:ext>
          </a:extLst>
        </xdr:cNvPr>
        <xdr:cNvSpPr/>
      </xdr:nvSpPr>
      <xdr:spPr>
        <a:xfrm>
          <a:off x="12348674" y="16457994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83</xdr:row>
      <xdr:rowOff>141539</xdr:rowOff>
    </xdr:from>
    <xdr:to>
      <xdr:col>5</xdr:col>
      <xdr:colOff>506710</xdr:colOff>
      <xdr:row>83</xdr:row>
      <xdr:rowOff>293939</xdr:rowOff>
    </xdr:to>
    <xdr:sp macro="" textlink="">
      <xdr:nvSpPr>
        <xdr:cNvPr id="2167" name="Rectangle 2166">
          <a:extLst>
            <a:ext uri="{FF2B5EF4-FFF2-40B4-BE49-F238E27FC236}">
              <a16:creationId xmlns:a16="http://schemas.microsoft.com/office/drawing/2014/main" id="{00000000-0008-0000-0700-00007708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83</xdr:row>
      <xdr:rowOff>1761585</xdr:rowOff>
    </xdr:from>
    <xdr:to>
      <xdr:col>5</xdr:col>
      <xdr:colOff>516724</xdr:colOff>
      <xdr:row>83</xdr:row>
      <xdr:rowOff>1913985</xdr:rowOff>
    </xdr:to>
    <xdr:sp macro="" textlink="">
      <xdr:nvSpPr>
        <xdr:cNvPr id="2168" name="Rectangle 2167">
          <a:extLst>
            <a:ext uri="{FF2B5EF4-FFF2-40B4-BE49-F238E27FC236}">
              <a16:creationId xmlns:a16="http://schemas.microsoft.com/office/drawing/2014/main" id="{00000000-0008-0000-0700-00007808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83</xdr:row>
      <xdr:rowOff>123955</xdr:rowOff>
    </xdr:from>
    <xdr:to>
      <xdr:col>5</xdr:col>
      <xdr:colOff>2394126</xdr:colOff>
      <xdr:row>83</xdr:row>
      <xdr:rowOff>276355</xdr:rowOff>
    </xdr:to>
    <xdr:sp macro="" textlink="">
      <xdr:nvSpPr>
        <xdr:cNvPr id="2169" name="Rectangle 2168">
          <a:extLst>
            <a:ext uri="{FF2B5EF4-FFF2-40B4-BE49-F238E27FC236}">
              <a16:creationId xmlns:a16="http://schemas.microsoft.com/office/drawing/2014/main" id="{00000000-0008-0000-0700-00007908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83</xdr:row>
      <xdr:rowOff>1790892</xdr:rowOff>
    </xdr:from>
    <xdr:to>
      <xdr:col>5</xdr:col>
      <xdr:colOff>2401941</xdr:colOff>
      <xdr:row>83</xdr:row>
      <xdr:rowOff>1943292</xdr:rowOff>
    </xdr:to>
    <xdr:sp macro="" textlink="">
      <xdr:nvSpPr>
        <xdr:cNvPr id="2170" name="Rectangle 2169">
          <a:extLst>
            <a:ext uri="{FF2B5EF4-FFF2-40B4-BE49-F238E27FC236}">
              <a16:creationId xmlns:a16="http://schemas.microsoft.com/office/drawing/2014/main" id="{00000000-0008-0000-0700-00007A08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83</xdr:row>
      <xdr:rowOff>630430</xdr:rowOff>
    </xdr:from>
    <xdr:to>
      <xdr:col>5</xdr:col>
      <xdr:colOff>2327329</xdr:colOff>
      <xdr:row>83</xdr:row>
      <xdr:rowOff>689045</xdr:rowOff>
    </xdr:to>
    <xdr:sp macro="" textlink="">
      <xdr:nvSpPr>
        <xdr:cNvPr id="2171" name="Rectangle 2170">
          <a:extLst>
            <a:ext uri="{FF2B5EF4-FFF2-40B4-BE49-F238E27FC236}">
              <a16:creationId xmlns:a16="http://schemas.microsoft.com/office/drawing/2014/main" id="{00000000-0008-0000-0700-00007B080000}"/>
            </a:ext>
          </a:extLst>
        </xdr:cNvPr>
        <xdr:cNvSpPr/>
      </xdr:nvSpPr>
      <xdr:spPr>
        <a:xfrm>
          <a:off x="11117543" y="16017418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83</xdr:row>
      <xdr:rowOff>141539</xdr:rowOff>
    </xdr:from>
    <xdr:to>
      <xdr:col>5</xdr:col>
      <xdr:colOff>506710</xdr:colOff>
      <xdr:row>83</xdr:row>
      <xdr:rowOff>293939</xdr:rowOff>
    </xdr:to>
    <xdr:sp macro="" textlink="">
      <xdr:nvSpPr>
        <xdr:cNvPr id="2172" name="Rectangle 2171">
          <a:extLst>
            <a:ext uri="{FF2B5EF4-FFF2-40B4-BE49-F238E27FC236}">
              <a16:creationId xmlns:a16="http://schemas.microsoft.com/office/drawing/2014/main" id="{00000000-0008-0000-0700-00007C080000}"/>
            </a:ext>
          </a:extLst>
        </xdr:cNvPr>
        <xdr:cNvSpPr/>
      </xdr:nvSpPr>
      <xdr:spPr>
        <a:xfrm>
          <a:off x="11049524" y="15968528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83</xdr:row>
      <xdr:rowOff>1761585</xdr:rowOff>
    </xdr:from>
    <xdr:to>
      <xdr:col>5</xdr:col>
      <xdr:colOff>516724</xdr:colOff>
      <xdr:row>83</xdr:row>
      <xdr:rowOff>1913985</xdr:rowOff>
    </xdr:to>
    <xdr:sp macro="" textlink="">
      <xdr:nvSpPr>
        <xdr:cNvPr id="2173" name="Rectangle 2172">
          <a:extLst>
            <a:ext uri="{FF2B5EF4-FFF2-40B4-BE49-F238E27FC236}">
              <a16:creationId xmlns:a16="http://schemas.microsoft.com/office/drawing/2014/main" id="{00000000-0008-0000-0700-00007D080000}"/>
            </a:ext>
          </a:extLst>
        </xdr:cNvPr>
        <xdr:cNvSpPr/>
      </xdr:nvSpPr>
      <xdr:spPr>
        <a:xfrm>
          <a:off x="11059538" y="1613053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83</xdr:row>
      <xdr:rowOff>123955</xdr:rowOff>
    </xdr:from>
    <xdr:to>
      <xdr:col>5</xdr:col>
      <xdr:colOff>2394126</xdr:colOff>
      <xdr:row>83</xdr:row>
      <xdr:rowOff>276355</xdr:rowOff>
    </xdr:to>
    <xdr:sp macro="" textlink="">
      <xdr:nvSpPr>
        <xdr:cNvPr id="2174" name="Rectangle 2173">
          <a:extLst>
            <a:ext uri="{FF2B5EF4-FFF2-40B4-BE49-F238E27FC236}">
              <a16:creationId xmlns:a16="http://schemas.microsoft.com/office/drawing/2014/main" id="{00000000-0008-0000-0700-00007E080000}"/>
            </a:ext>
          </a:extLst>
        </xdr:cNvPr>
        <xdr:cNvSpPr/>
      </xdr:nvSpPr>
      <xdr:spPr>
        <a:xfrm>
          <a:off x="12936940" y="15966770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83</xdr:row>
      <xdr:rowOff>1790892</xdr:rowOff>
    </xdr:from>
    <xdr:to>
      <xdr:col>5</xdr:col>
      <xdr:colOff>2401941</xdr:colOff>
      <xdr:row>83</xdr:row>
      <xdr:rowOff>1943292</xdr:rowOff>
    </xdr:to>
    <xdr:sp macro="" textlink="">
      <xdr:nvSpPr>
        <xdr:cNvPr id="2175" name="Rectangle 2174">
          <a:extLst>
            <a:ext uri="{FF2B5EF4-FFF2-40B4-BE49-F238E27FC236}">
              <a16:creationId xmlns:a16="http://schemas.microsoft.com/office/drawing/2014/main" id="{00000000-0008-0000-0700-00007F080000}"/>
            </a:ext>
          </a:extLst>
        </xdr:cNvPr>
        <xdr:cNvSpPr/>
      </xdr:nvSpPr>
      <xdr:spPr>
        <a:xfrm>
          <a:off x="12944755" y="16133464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83</xdr:row>
      <xdr:rowOff>1455929</xdr:rowOff>
    </xdr:from>
    <xdr:to>
      <xdr:col>5</xdr:col>
      <xdr:colOff>2315483</xdr:colOff>
      <xdr:row>83</xdr:row>
      <xdr:rowOff>1514544</xdr:rowOff>
    </xdr:to>
    <xdr:sp macro="" textlink="">
      <xdr:nvSpPr>
        <xdr:cNvPr id="2176" name="Rectangle 2175">
          <a:extLst>
            <a:ext uri="{FF2B5EF4-FFF2-40B4-BE49-F238E27FC236}">
              <a16:creationId xmlns:a16="http://schemas.microsoft.com/office/drawing/2014/main" id="{00000000-0008-0000-0700-000080080000}"/>
            </a:ext>
          </a:extLst>
        </xdr:cNvPr>
        <xdr:cNvSpPr/>
      </xdr:nvSpPr>
      <xdr:spPr>
        <a:xfrm>
          <a:off x="11105697" y="160999679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83</xdr:row>
      <xdr:rowOff>1057467</xdr:rowOff>
    </xdr:from>
    <xdr:to>
      <xdr:col>5</xdr:col>
      <xdr:colOff>2307546</xdr:colOff>
      <xdr:row>83</xdr:row>
      <xdr:rowOff>1116082</xdr:rowOff>
    </xdr:to>
    <xdr:sp macro="" textlink="">
      <xdr:nvSpPr>
        <xdr:cNvPr id="2177" name="Rectangle 2176">
          <a:extLst>
            <a:ext uri="{FF2B5EF4-FFF2-40B4-BE49-F238E27FC236}">
              <a16:creationId xmlns:a16="http://schemas.microsoft.com/office/drawing/2014/main" id="{00000000-0008-0000-0700-000081080000}"/>
            </a:ext>
          </a:extLst>
        </xdr:cNvPr>
        <xdr:cNvSpPr/>
      </xdr:nvSpPr>
      <xdr:spPr>
        <a:xfrm>
          <a:off x="11097760" y="160601217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84</xdr:row>
      <xdr:rowOff>141539</xdr:rowOff>
    </xdr:from>
    <xdr:to>
      <xdr:col>5</xdr:col>
      <xdr:colOff>506710</xdr:colOff>
      <xdr:row>84</xdr:row>
      <xdr:rowOff>293939</xdr:rowOff>
    </xdr:to>
    <xdr:sp macro="" textlink="">
      <xdr:nvSpPr>
        <xdr:cNvPr id="2178" name="Rectangle 2177">
          <a:extLst>
            <a:ext uri="{FF2B5EF4-FFF2-40B4-BE49-F238E27FC236}">
              <a16:creationId xmlns:a16="http://schemas.microsoft.com/office/drawing/2014/main" id="{00000000-0008-0000-0700-000082080000}"/>
            </a:ext>
          </a:extLst>
        </xdr:cNvPr>
        <xdr:cNvSpPr/>
      </xdr:nvSpPr>
      <xdr:spPr>
        <a:xfrm>
          <a:off x="11049524" y="16171275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84</xdr:row>
      <xdr:rowOff>1761585</xdr:rowOff>
    </xdr:from>
    <xdr:to>
      <xdr:col>5</xdr:col>
      <xdr:colOff>516724</xdr:colOff>
      <xdr:row>84</xdr:row>
      <xdr:rowOff>1913985</xdr:rowOff>
    </xdr:to>
    <xdr:sp macro="" textlink="">
      <xdr:nvSpPr>
        <xdr:cNvPr id="2179" name="Rectangle 2178">
          <a:extLst>
            <a:ext uri="{FF2B5EF4-FFF2-40B4-BE49-F238E27FC236}">
              <a16:creationId xmlns:a16="http://schemas.microsoft.com/office/drawing/2014/main" id="{00000000-0008-0000-0700-000083080000}"/>
            </a:ext>
          </a:extLst>
        </xdr:cNvPr>
        <xdr:cNvSpPr/>
      </xdr:nvSpPr>
      <xdr:spPr>
        <a:xfrm>
          <a:off x="11059538" y="1633327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84</xdr:row>
      <xdr:rowOff>123955</xdr:rowOff>
    </xdr:from>
    <xdr:to>
      <xdr:col>5</xdr:col>
      <xdr:colOff>2394126</xdr:colOff>
      <xdr:row>84</xdr:row>
      <xdr:rowOff>276355</xdr:rowOff>
    </xdr:to>
    <xdr:sp macro="" textlink="">
      <xdr:nvSpPr>
        <xdr:cNvPr id="2180" name="Rectangle 2179">
          <a:extLst>
            <a:ext uri="{FF2B5EF4-FFF2-40B4-BE49-F238E27FC236}">
              <a16:creationId xmlns:a16="http://schemas.microsoft.com/office/drawing/2014/main" id="{00000000-0008-0000-0700-000084080000}"/>
            </a:ext>
          </a:extLst>
        </xdr:cNvPr>
        <xdr:cNvSpPr/>
      </xdr:nvSpPr>
      <xdr:spPr>
        <a:xfrm>
          <a:off x="12936940" y="16169516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84</xdr:row>
      <xdr:rowOff>1790892</xdr:rowOff>
    </xdr:from>
    <xdr:to>
      <xdr:col>5</xdr:col>
      <xdr:colOff>2401941</xdr:colOff>
      <xdr:row>84</xdr:row>
      <xdr:rowOff>1943292</xdr:rowOff>
    </xdr:to>
    <xdr:sp macro="" textlink="">
      <xdr:nvSpPr>
        <xdr:cNvPr id="2181" name="Rectangle 2180">
          <a:extLst>
            <a:ext uri="{FF2B5EF4-FFF2-40B4-BE49-F238E27FC236}">
              <a16:creationId xmlns:a16="http://schemas.microsoft.com/office/drawing/2014/main" id="{00000000-0008-0000-0700-000085080000}"/>
            </a:ext>
          </a:extLst>
        </xdr:cNvPr>
        <xdr:cNvSpPr/>
      </xdr:nvSpPr>
      <xdr:spPr>
        <a:xfrm>
          <a:off x="12944755" y="16336210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84</xdr:row>
      <xdr:rowOff>630430</xdr:rowOff>
    </xdr:from>
    <xdr:to>
      <xdr:col>5</xdr:col>
      <xdr:colOff>2327329</xdr:colOff>
      <xdr:row>84</xdr:row>
      <xdr:rowOff>689045</xdr:rowOff>
    </xdr:to>
    <xdr:sp macro="" textlink="">
      <xdr:nvSpPr>
        <xdr:cNvPr id="2182" name="Rectangle 2181">
          <a:extLst>
            <a:ext uri="{FF2B5EF4-FFF2-40B4-BE49-F238E27FC236}">
              <a16:creationId xmlns:a16="http://schemas.microsoft.com/office/drawing/2014/main" id="{00000000-0008-0000-0700-000086080000}"/>
            </a:ext>
          </a:extLst>
        </xdr:cNvPr>
        <xdr:cNvSpPr/>
      </xdr:nvSpPr>
      <xdr:spPr>
        <a:xfrm>
          <a:off x="11117543" y="162201644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84</xdr:row>
      <xdr:rowOff>141539</xdr:rowOff>
    </xdr:from>
    <xdr:to>
      <xdr:col>5</xdr:col>
      <xdr:colOff>506710</xdr:colOff>
      <xdr:row>84</xdr:row>
      <xdr:rowOff>293939</xdr:rowOff>
    </xdr:to>
    <xdr:sp macro="" textlink="">
      <xdr:nvSpPr>
        <xdr:cNvPr id="2183" name="Rectangle 2182">
          <a:extLst>
            <a:ext uri="{FF2B5EF4-FFF2-40B4-BE49-F238E27FC236}">
              <a16:creationId xmlns:a16="http://schemas.microsoft.com/office/drawing/2014/main" id="{00000000-0008-0000-0700-000087080000}"/>
            </a:ext>
          </a:extLst>
        </xdr:cNvPr>
        <xdr:cNvSpPr/>
      </xdr:nvSpPr>
      <xdr:spPr>
        <a:xfrm>
          <a:off x="11049524" y="161712753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84</xdr:row>
      <xdr:rowOff>1761585</xdr:rowOff>
    </xdr:from>
    <xdr:to>
      <xdr:col>5</xdr:col>
      <xdr:colOff>516724</xdr:colOff>
      <xdr:row>84</xdr:row>
      <xdr:rowOff>1913985</xdr:rowOff>
    </xdr:to>
    <xdr:sp macro="" textlink="">
      <xdr:nvSpPr>
        <xdr:cNvPr id="2184" name="Rectangle 2183">
          <a:extLst>
            <a:ext uri="{FF2B5EF4-FFF2-40B4-BE49-F238E27FC236}">
              <a16:creationId xmlns:a16="http://schemas.microsoft.com/office/drawing/2014/main" id="{00000000-0008-0000-0700-000088080000}"/>
            </a:ext>
          </a:extLst>
        </xdr:cNvPr>
        <xdr:cNvSpPr/>
      </xdr:nvSpPr>
      <xdr:spPr>
        <a:xfrm>
          <a:off x="11059538" y="16333279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84</xdr:row>
      <xdr:rowOff>123955</xdr:rowOff>
    </xdr:from>
    <xdr:to>
      <xdr:col>5</xdr:col>
      <xdr:colOff>2394126</xdr:colOff>
      <xdr:row>84</xdr:row>
      <xdr:rowOff>276355</xdr:rowOff>
    </xdr:to>
    <xdr:sp macro="" textlink="">
      <xdr:nvSpPr>
        <xdr:cNvPr id="2185" name="Rectangle 2184">
          <a:extLst>
            <a:ext uri="{FF2B5EF4-FFF2-40B4-BE49-F238E27FC236}">
              <a16:creationId xmlns:a16="http://schemas.microsoft.com/office/drawing/2014/main" id="{00000000-0008-0000-0700-000089080000}"/>
            </a:ext>
          </a:extLst>
        </xdr:cNvPr>
        <xdr:cNvSpPr/>
      </xdr:nvSpPr>
      <xdr:spPr>
        <a:xfrm>
          <a:off x="12936940" y="161695169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84</xdr:row>
      <xdr:rowOff>1790892</xdr:rowOff>
    </xdr:from>
    <xdr:to>
      <xdr:col>5</xdr:col>
      <xdr:colOff>2401941</xdr:colOff>
      <xdr:row>84</xdr:row>
      <xdr:rowOff>1943292</xdr:rowOff>
    </xdr:to>
    <xdr:sp macro="" textlink="">
      <xdr:nvSpPr>
        <xdr:cNvPr id="2186" name="Rectangle 2185">
          <a:extLst>
            <a:ext uri="{FF2B5EF4-FFF2-40B4-BE49-F238E27FC236}">
              <a16:creationId xmlns:a16="http://schemas.microsoft.com/office/drawing/2014/main" id="{00000000-0008-0000-0700-00008A080000}"/>
            </a:ext>
          </a:extLst>
        </xdr:cNvPr>
        <xdr:cNvSpPr/>
      </xdr:nvSpPr>
      <xdr:spPr>
        <a:xfrm>
          <a:off x="12944755" y="163362106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84</xdr:row>
      <xdr:rowOff>1455929</xdr:rowOff>
    </xdr:from>
    <xdr:to>
      <xdr:col>5</xdr:col>
      <xdr:colOff>2315483</xdr:colOff>
      <xdr:row>84</xdr:row>
      <xdr:rowOff>1514544</xdr:rowOff>
    </xdr:to>
    <xdr:sp macro="" textlink="">
      <xdr:nvSpPr>
        <xdr:cNvPr id="2187" name="Rectangle 2186">
          <a:extLst>
            <a:ext uri="{FF2B5EF4-FFF2-40B4-BE49-F238E27FC236}">
              <a16:creationId xmlns:a16="http://schemas.microsoft.com/office/drawing/2014/main" id="{00000000-0008-0000-0700-00008B080000}"/>
            </a:ext>
          </a:extLst>
        </xdr:cNvPr>
        <xdr:cNvSpPr/>
      </xdr:nvSpPr>
      <xdr:spPr>
        <a:xfrm>
          <a:off x="11105697" y="16302714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84</xdr:row>
      <xdr:rowOff>1057467</xdr:rowOff>
    </xdr:from>
    <xdr:to>
      <xdr:col>5</xdr:col>
      <xdr:colOff>2307546</xdr:colOff>
      <xdr:row>84</xdr:row>
      <xdr:rowOff>1116082</xdr:rowOff>
    </xdr:to>
    <xdr:sp macro="" textlink="">
      <xdr:nvSpPr>
        <xdr:cNvPr id="2188" name="Rectangle 2187">
          <a:extLst>
            <a:ext uri="{FF2B5EF4-FFF2-40B4-BE49-F238E27FC236}">
              <a16:creationId xmlns:a16="http://schemas.microsoft.com/office/drawing/2014/main" id="{00000000-0008-0000-0700-00008C080000}"/>
            </a:ext>
          </a:extLst>
        </xdr:cNvPr>
        <xdr:cNvSpPr/>
      </xdr:nvSpPr>
      <xdr:spPr>
        <a:xfrm>
          <a:off x="11097760" y="162628681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801600</xdr:colOff>
      <xdr:row>84</xdr:row>
      <xdr:rowOff>554840</xdr:rowOff>
    </xdr:from>
    <xdr:to>
      <xdr:col>5</xdr:col>
      <xdr:colOff>1036062</xdr:colOff>
      <xdr:row>84</xdr:row>
      <xdr:rowOff>781974</xdr:rowOff>
    </xdr:to>
    <xdr:sp macro="" textlink="">
      <xdr:nvSpPr>
        <xdr:cNvPr id="2189" name="Organigramme : Jonction de sommaire 2188">
          <a:extLst>
            <a:ext uri="{FF2B5EF4-FFF2-40B4-BE49-F238E27FC236}">
              <a16:creationId xmlns:a16="http://schemas.microsoft.com/office/drawing/2014/main" id="{00000000-0008-0000-0700-00008D080000}"/>
            </a:ext>
          </a:extLst>
        </xdr:cNvPr>
        <xdr:cNvSpPr/>
      </xdr:nvSpPr>
      <xdr:spPr>
        <a:xfrm>
          <a:off x="11479125" y="17852946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1615360</xdr:colOff>
      <xdr:row>84</xdr:row>
      <xdr:rowOff>552641</xdr:rowOff>
    </xdr:from>
    <xdr:to>
      <xdr:col>5</xdr:col>
      <xdr:colOff>1849822</xdr:colOff>
      <xdr:row>84</xdr:row>
      <xdr:rowOff>779775</xdr:rowOff>
    </xdr:to>
    <xdr:sp macro="" textlink="">
      <xdr:nvSpPr>
        <xdr:cNvPr id="2190" name="Organigramme : Jonction de sommaire 2189">
          <a:extLst>
            <a:ext uri="{FF2B5EF4-FFF2-40B4-BE49-F238E27FC236}">
              <a16:creationId xmlns:a16="http://schemas.microsoft.com/office/drawing/2014/main" id="{00000000-0008-0000-0700-00008E080000}"/>
            </a:ext>
          </a:extLst>
        </xdr:cNvPr>
        <xdr:cNvSpPr/>
      </xdr:nvSpPr>
      <xdr:spPr>
        <a:xfrm>
          <a:off x="12292885" y="17852726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85</xdr:row>
      <xdr:rowOff>141539</xdr:rowOff>
    </xdr:from>
    <xdr:to>
      <xdr:col>5</xdr:col>
      <xdr:colOff>506710</xdr:colOff>
      <xdr:row>85</xdr:row>
      <xdr:rowOff>293939</xdr:rowOff>
    </xdr:to>
    <xdr:sp macro="" textlink="">
      <xdr:nvSpPr>
        <xdr:cNvPr id="2223" name="Rectangle 2222">
          <a:extLst>
            <a:ext uri="{FF2B5EF4-FFF2-40B4-BE49-F238E27FC236}">
              <a16:creationId xmlns:a16="http://schemas.microsoft.com/office/drawing/2014/main" id="{00000000-0008-0000-0700-0000AF080000}"/>
            </a:ext>
          </a:extLst>
        </xdr:cNvPr>
        <xdr:cNvSpPr/>
      </xdr:nvSpPr>
      <xdr:spPr>
        <a:xfrm>
          <a:off x="11049524" y="1657676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85</xdr:row>
      <xdr:rowOff>1761585</xdr:rowOff>
    </xdr:from>
    <xdr:to>
      <xdr:col>5</xdr:col>
      <xdr:colOff>516724</xdr:colOff>
      <xdr:row>85</xdr:row>
      <xdr:rowOff>1913985</xdr:rowOff>
    </xdr:to>
    <xdr:sp macro="" textlink="">
      <xdr:nvSpPr>
        <xdr:cNvPr id="2224" name="Rectangle 2223">
          <a:extLst>
            <a:ext uri="{FF2B5EF4-FFF2-40B4-BE49-F238E27FC236}">
              <a16:creationId xmlns:a16="http://schemas.microsoft.com/office/drawing/2014/main" id="{00000000-0008-0000-0700-0000B0080000}"/>
            </a:ext>
          </a:extLst>
        </xdr:cNvPr>
        <xdr:cNvSpPr/>
      </xdr:nvSpPr>
      <xdr:spPr>
        <a:xfrm>
          <a:off x="11059538" y="1673877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85</xdr:row>
      <xdr:rowOff>123955</xdr:rowOff>
    </xdr:from>
    <xdr:to>
      <xdr:col>5</xdr:col>
      <xdr:colOff>2394126</xdr:colOff>
      <xdr:row>85</xdr:row>
      <xdr:rowOff>276355</xdr:rowOff>
    </xdr:to>
    <xdr:sp macro="" textlink="">
      <xdr:nvSpPr>
        <xdr:cNvPr id="2225" name="Rectangle 2224">
          <a:extLst>
            <a:ext uri="{FF2B5EF4-FFF2-40B4-BE49-F238E27FC236}">
              <a16:creationId xmlns:a16="http://schemas.microsoft.com/office/drawing/2014/main" id="{00000000-0008-0000-0700-0000B1080000}"/>
            </a:ext>
          </a:extLst>
        </xdr:cNvPr>
        <xdr:cNvSpPr/>
      </xdr:nvSpPr>
      <xdr:spPr>
        <a:xfrm>
          <a:off x="12936940" y="16575009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85</xdr:row>
      <xdr:rowOff>1790892</xdr:rowOff>
    </xdr:from>
    <xdr:to>
      <xdr:col>5</xdr:col>
      <xdr:colOff>2401941</xdr:colOff>
      <xdr:row>85</xdr:row>
      <xdr:rowOff>1943292</xdr:rowOff>
    </xdr:to>
    <xdr:sp macro="" textlink="">
      <xdr:nvSpPr>
        <xdr:cNvPr id="2226" name="Rectangle 2225">
          <a:extLst>
            <a:ext uri="{FF2B5EF4-FFF2-40B4-BE49-F238E27FC236}">
              <a16:creationId xmlns:a16="http://schemas.microsoft.com/office/drawing/2014/main" id="{00000000-0008-0000-0700-0000B2080000}"/>
            </a:ext>
          </a:extLst>
        </xdr:cNvPr>
        <xdr:cNvSpPr/>
      </xdr:nvSpPr>
      <xdr:spPr>
        <a:xfrm>
          <a:off x="12944755" y="1674170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422329</xdr:colOff>
      <xdr:row>85</xdr:row>
      <xdr:rowOff>630430</xdr:rowOff>
    </xdr:from>
    <xdr:to>
      <xdr:col>5</xdr:col>
      <xdr:colOff>2327329</xdr:colOff>
      <xdr:row>85</xdr:row>
      <xdr:rowOff>689045</xdr:rowOff>
    </xdr:to>
    <xdr:sp macro="" textlink="">
      <xdr:nvSpPr>
        <xdr:cNvPr id="2227" name="Rectangle 2226">
          <a:extLst>
            <a:ext uri="{FF2B5EF4-FFF2-40B4-BE49-F238E27FC236}">
              <a16:creationId xmlns:a16="http://schemas.microsoft.com/office/drawing/2014/main" id="{00000000-0008-0000-0700-0000B3080000}"/>
            </a:ext>
          </a:extLst>
        </xdr:cNvPr>
        <xdr:cNvSpPr/>
      </xdr:nvSpPr>
      <xdr:spPr>
        <a:xfrm>
          <a:off x="11117543" y="166256573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354310</xdr:colOff>
      <xdr:row>85</xdr:row>
      <xdr:rowOff>141539</xdr:rowOff>
    </xdr:from>
    <xdr:to>
      <xdr:col>5</xdr:col>
      <xdr:colOff>506710</xdr:colOff>
      <xdr:row>85</xdr:row>
      <xdr:rowOff>293939</xdr:rowOff>
    </xdr:to>
    <xdr:sp macro="" textlink="">
      <xdr:nvSpPr>
        <xdr:cNvPr id="2228" name="Rectangle 2227">
          <a:extLst>
            <a:ext uri="{FF2B5EF4-FFF2-40B4-BE49-F238E27FC236}">
              <a16:creationId xmlns:a16="http://schemas.microsoft.com/office/drawing/2014/main" id="{00000000-0008-0000-0700-0000B4080000}"/>
            </a:ext>
          </a:extLst>
        </xdr:cNvPr>
        <xdr:cNvSpPr/>
      </xdr:nvSpPr>
      <xdr:spPr>
        <a:xfrm>
          <a:off x="11049524" y="165767682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364324</xdr:colOff>
      <xdr:row>85</xdr:row>
      <xdr:rowOff>1761585</xdr:rowOff>
    </xdr:from>
    <xdr:to>
      <xdr:col>5</xdr:col>
      <xdr:colOff>516724</xdr:colOff>
      <xdr:row>85</xdr:row>
      <xdr:rowOff>1913985</xdr:rowOff>
    </xdr:to>
    <xdr:sp macro="" textlink="">
      <xdr:nvSpPr>
        <xdr:cNvPr id="2229" name="Rectangle 2228">
          <a:extLst>
            <a:ext uri="{FF2B5EF4-FFF2-40B4-BE49-F238E27FC236}">
              <a16:creationId xmlns:a16="http://schemas.microsoft.com/office/drawing/2014/main" id="{00000000-0008-0000-0700-0000B5080000}"/>
            </a:ext>
          </a:extLst>
        </xdr:cNvPr>
        <xdr:cNvSpPr/>
      </xdr:nvSpPr>
      <xdr:spPr>
        <a:xfrm>
          <a:off x="11059538" y="16738772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2241726</xdr:colOff>
      <xdr:row>85</xdr:row>
      <xdr:rowOff>123955</xdr:rowOff>
    </xdr:from>
    <xdr:to>
      <xdr:col>5</xdr:col>
      <xdr:colOff>2394126</xdr:colOff>
      <xdr:row>85</xdr:row>
      <xdr:rowOff>276355</xdr:rowOff>
    </xdr:to>
    <xdr:sp macro="" textlink="">
      <xdr:nvSpPr>
        <xdr:cNvPr id="2230" name="Rectangle 2229">
          <a:extLst>
            <a:ext uri="{FF2B5EF4-FFF2-40B4-BE49-F238E27FC236}">
              <a16:creationId xmlns:a16="http://schemas.microsoft.com/office/drawing/2014/main" id="{00000000-0008-0000-0700-0000B6080000}"/>
            </a:ext>
          </a:extLst>
        </xdr:cNvPr>
        <xdr:cNvSpPr/>
      </xdr:nvSpPr>
      <xdr:spPr>
        <a:xfrm>
          <a:off x="12936940" y="165750098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2249541</xdr:colOff>
      <xdr:row>85</xdr:row>
      <xdr:rowOff>1790892</xdr:rowOff>
    </xdr:from>
    <xdr:to>
      <xdr:col>5</xdr:col>
      <xdr:colOff>2401941</xdr:colOff>
      <xdr:row>85</xdr:row>
      <xdr:rowOff>1943292</xdr:rowOff>
    </xdr:to>
    <xdr:sp macro="" textlink="">
      <xdr:nvSpPr>
        <xdr:cNvPr id="2231" name="Rectangle 2230">
          <a:extLst>
            <a:ext uri="{FF2B5EF4-FFF2-40B4-BE49-F238E27FC236}">
              <a16:creationId xmlns:a16="http://schemas.microsoft.com/office/drawing/2014/main" id="{00000000-0008-0000-0700-0000B7080000}"/>
            </a:ext>
          </a:extLst>
        </xdr:cNvPr>
        <xdr:cNvSpPr/>
      </xdr:nvSpPr>
      <xdr:spPr>
        <a:xfrm>
          <a:off x="12944755" y="167417035"/>
          <a:ext cx="152400" cy="152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830908</xdr:colOff>
      <xdr:row>85</xdr:row>
      <xdr:rowOff>546903</xdr:rowOff>
    </xdr:from>
    <xdr:to>
      <xdr:col>5</xdr:col>
      <xdr:colOff>1065370</xdr:colOff>
      <xdr:row>85</xdr:row>
      <xdr:rowOff>774037</xdr:rowOff>
    </xdr:to>
    <xdr:sp macro="" textlink="">
      <xdr:nvSpPr>
        <xdr:cNvPr id="2232" name="Organigramme : Jonction de sommaire 2231">
          <a:extLst>
            <a:ext uri="{FF2B5EF4-FFF2-40B4-BE49-F238E27FC236}">
              <a16:creationId xmlns:a16="http://schemas.microsoft.com/office/drawing/2014/main" id="{00000000-0008-0000-0700-0000B8080000}"/>
            </a:ext>
          </a:extLst>
        </xdr:cNvPr>
        <xdr:cNvSpPr/>
      </xdr:nvSpPr>
      <xdr:spPr>
        <a:xfrm>
          <a:off x="11526122" y="166173046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1673243</xdr:colOff>
      <xdr:row>85</xdr:row>
      <xdr:rowOff>554229</xdr:rowOff>
    </xdr:from>
    <xdr:to>
      <xdr:col>5</xdr:col>
      <xdr:colOff>1907705</xdr:colOff>
      <xdr:row>85</xdr:row>
      <xdr:rowOff>781363</xdr:rowOff>
    </xdr:to>
    <xdr:sp macro="" textlink="">
      <xdr:nvSpPr>
        <xdr:cNvPr id="2233" name="Organigramme : Jonction de sommaire 2232">
          <a:extLst>
            <a:ext uri="{FF2B5EF4-FFF2-40B4-BE49-F238E27FC236}">
              <a16:creationId xmlns:a16="http://schemas.microsoft.com/office/drawing/2014/main" id="{00000000-0008-0000-0700-0000B9080000}"/>
            </a:ext>
          </a:extLst>
        </xdr:cNvPr>
        <xdr:cNvSpPr/>
      </xdr:nvSpPr>
      <xdr:spPr>
        <a:xfrm>
          <a:off x="12368457" y="166180372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410483</xdr:colOff>
      <xdr:row>85</xdr:row>
      <xdr:rowOff>1455929</xdr:rowOff>
    </xdr:from>
    <xdr:to>
      <xdr:col>5</xdr:col>
      <xdr:colOff>2315483</xdr:colOff>
      <xdr:row>85</xdr:row>
      <xdr:rowOff>1514544</xdr:rowOff>
    </xdr:to>
    <xdr:sp macro="" textlink="">
      <xdr:nvSpPr>
        <xdr:cNvPr id="2234" name="Rectangle 2233">
          <a:extLst>
            <a:ext uri="{FF2B5EF4-FFF2-40B4-BE49-F238E27FC236}">
              <a16:creationId xmlns:a16="http://schemas.microsoft.com/office/drawing/2014/main" id="{00000000-0008-0000-0700-0000BA080000}"/>
            </a:ext>
          </a:extLst>
        </xdr:cNvPr>
        <xdr:cNvSpPr/>
      </xdr:nvSpPr>
      <xdr:spPr>
        <a:xfrm>
          <a:off x="11105697" y="167082072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819062</xdr:colOff>
      <xdr:row>85</xdr:row>
      <xdr:rowOff>1372402</xdr:rowOff>
    </xdr:from>
    <xdr:to>
      <xdr:col>5</xdr:col>
      <xdr:colOff>1053524</xdr:colOff>
      <xdr:row>85</xdr:row>
      <xdr:rowOff>1599536</xdr:rowOff>
    </xdr:to>
    <xdr:sp macro="" textlink="">
      <xdr:nvSpPr>
        <xdr:cNvPr id="2235" name="Organigramme : Jonction de sommaire 2234">
          <a:extLst>
            <a:ext uri="{FF2B5EF4-FFF2-40B4-BE49-F238E27FC236}">
              <a16:creationId xmlns:a16="http://schemas.microsoft.com/office/drawing/2014/main" id="{00000000-0008-0000-0700-0000BB080000}"/>
            </a:ext>
          </a:extLst>
        </xdr:cNvPr>
        <xdr:cNvSpPr/>
      </xdr:nvSpPr>
      <xdr:spPr>
        <a:xfrm>
          <a:off x="11514276" y="16699854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1661397</xdr:colOff>
      <xdr:row>85</xdr:row>
      <xdr:rowOff>1379728</xdr:rowOff>
    </xdr:from>
    <xdr:to>
      <xdr:col>5</xdr:col>
      <xdr:colOff>1895859</xdr:colOff>
      <xdr:row>85</xdr:row>
      <xdr:rowOff>1606862</xdr:rowOff>
    </xdr:to>
    <xdr:sp macro="" textlink="">
      <xdr:nvSpPr>
        <xdr:cNvPr id="2236" name="Organigramme : Jonction de sommaire 2235">
          <a:extLst>
            <a:ext uri="{FF2B5EF4-FFF2-40B4-BE49-F238E27FC236}">
              <a16:creationId xmlns:a16="http://schemas.microsoft.com/office/drawing/2014/main" id="{00000000-0008-0000-0700-0000BC080000}"/>
            </a:ext>
          </a:extLst>
        </xdr:cNvPr>
        <xdr:cNvSpPr/>
      </xdr:nvSpPr>
      <xdr:spPr>
        <a:xfrm>
          <a:off x="12356611" y="167005871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402546</xdr:colOff>
      <xdr:row>85</xdr:row>
      <xdr:rowOff>1057467</xdr:rowOff>
    </xdr:from>
    <xdr:to>
      <xdr:col>5</xdr:col>
      <xdr:colOff>2307546</xdr:colOff>
      <xdr:row>85</xdr:row>
      <xdr:rowOff>1116082</xdr:rowOff>
    </xdr:to>
    <xdr:sp macro="" textlink="">
      <xdr:nvSpPr>
        <xdr:cNvPr id="2237" name="Rectangle 2236">
          <a:extLst>
            <a:ext uri="{FF2B5EF4-FFF2-40B4-BE49-F238E27FC236}">
              <a16:creationId xmlns:a16="http://schemas.microsoft.com/office/drawing/2014/main" id="{00000000-0008-0000-0700-0000BD080000}"/>
            </a:ext>
          </a:extLst>
        </xdr:cNvPr>
        <xdr:cNvSpPr/>
      </xdr:nvSpPr>
      <xdr:spPr>
        <a:xfrm>
          <a:off x="11097760" y="166683610"/>
          <a:ext cx="1905000" cy="5861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811125</xdr:colOff>
      <xdr:row>85</xdr:row>
      <xdr:rowOff>973940</xdr:rowOff>
    </xdr:from>
    <xdr:to>
      <xdr:col>5</xdr:col>
      <xdr:colOff>1045587</xdr:colOff>
      <xdr:row>85</xdr:row>
      <xdr:rowOff>1201074</xdr:rowOff>
    </xdr:to>
    <xdr:sp macro="" textlink="">
      <xdr:nvSpPr>
        <xdr:cNvPr id="2238" name="Organigramme : Jonction de sommaire 2237">
          <a:extLst>
            <a:ext uri="{FF2B5EF4-FFF2-40B4-BE49-F238E27FC236}">
              <a16:creationId xmlns:a16="http://schemas.microsoft.com/office/drawing/2014/main" id="{00000000-0008-0000-0700-0000BE080000}"/>
            </a:ext>
          </a:extLst>
        </xdr:cNvPr>
        <xdr:cNvSpPr/>
      </xdr:nvSpPr>
      <xdr:spPr>
        <a:xfrm>
          <a:off x="11506339" y="16660008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1653460</xdr:colOff>
      <xdr:row>85</xdr:row>
      <xdr:rowOff>981266</xdr:rowOff>
    </xdr:from>
    <xdr:to>
      <xdr:col>5</xdr:col>
      <xdr:colOff>1887922</xdr:colOff>
      <xdr:row>85</xdr:row>
      <xdr:rowOff>1208400</xdr:rowOff>
    </xdr:to>
    <xdr:sp macro="" textlink="">
      <xdr:nvSpPr>
        <xdr:cNvPr id="2239" name="Organigramme : Jonction de sommaire 2238">
          <a:extLst>
            <a:ext uri="{FF2B5EF4-FFF2-40B4-BE49-F238E27FC236}">
              <a16:creationId xmlns:a16="http://schemas.microsoft.com/office/drawing/2014/main" id="{00000000-0008-0000-0700-0000BF080000}"/>
            </a:ext>
          </a:extLst>
        </xdr:cNvPr>
        <xdr:cNvSpPr/>
      </xdr:nvSpPr>
      <xdr:spPr>
        <a:xfrm>
          <a:off x="12348674" y="166607409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326572</xdr:colOff>
      <xdr:row>86</xdr:row>
      <xdr:rowOff>394607</xdr:rowOff>
    </xdr:from>
    <xdr:to>
      <xdr:col>5</xdr:col>
      <xdr:colOff>2394857</xdr:colOff>
      <xdr:row>86</xdr:row>
      <xdr:rowOff>1714500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021786" y="192377786"/>
          <a:ext cx="2068285" cy="131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000" b="1"/>
            <a:t>Nombre de Spot Faux</a:t>
          </a:r>
        </a:p>
      </xdr:txBody>
    </xdr:sp>
    <xdr:clientData/>
  </xdr:twoCellAnchor>
  <xdr:twoCellAnchor>
    <xdr:from>
      <xdr:col>5</xdr:col>
      <xdr:colOff>1485900</xdr:colOff>
      <xdr:row>61</xdr:row>
      <xdr:rowOff>666750</xdr:rowOff>
    </xdr:from>
    <xdr:to>
      <xdr:col>5</xdr:col>
      <xdr:colOff>1720362</xdr:colOff>
      <xdr:row>61</xdr:row>
      <xdr:rowOff>893884</xdr:rowOff>
    </xdr:to>
    <xdr:sp macro="" textlink="">
      <xdr:nvSpPr>
        <xdr:cNvPr id="961" name="Organigramme : Jonction de sommaire 960">
          <a:extLst>
            <a:ext uri="{FF2B5EF4-FFF2-40B4-BE49-F238E27FC236}">
              <a16:creationId xmlns:a16="http://schemas.microsoft.com/office/drawing/2014/main" id="{00000000-0008-0000-0700-0000C1030000}"/>
            </a:ext>
          </a:extLst>
        </xdr:cNvPr>
        <xdr:cNvSpPr/>
      </xdr:nvSpPr>
      <xdr:spPr>
        <a:xfrm>
          <a:off x="12163425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1190625</xdr:colOff>
      <xdr:row>61</xdr:row>
      <xdr:rowOff>666750</xdr:rowOff>
    </xdr:from>
    <xdr:to>
      <xdr:col>5</xdr:col>
      <xdr:colOff>1425087</xdr:colOff>
      <xdr:row>61</xdr:row>
      <xdr:rowOff>893884</xdr:rowOff>
    </xdr:to>
    <xdr:sp macro="" textlink="">
      <xdr:nvSpPr>
        <xdr:cNvPr id="962" name="Organigramme : Jonction de sommaire 961">
          <a:extLst>
            <a:ext uri="{FF2B5EF4-FFF2-40B4-BE49-F238E27FC236}">
              <a16:creationId xmlns:a16="http://schemas.microsoft.com/office/drawing/2014/main" id="{00000000-0008-0000-0700-0000C2030000}"/>
            </a:ext>
          </a:extLst>
        </xdr:cNvPr>
        <xdr:cNvSpPr/>
      </xdr:nvSpPr>
      <xdr:spPr>
        <a:xfrm>
          <a:off x="11868150" y="650271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857250</xdr:colOff>
      <xdr:row>63</xdr:row>
      <xdr:rowOff>638175</xdr:rowOff>
    </xdr:from>
    <xdr:to>
      <xdr:col>5</xdr:col>
      <xdr:colOff>1091712</xdr:colOff>
      <xdr:row>63</xdr:row>
      <xdr:rowOff>865309</xdr:rowOff>
    </xdr:to>
    <xdr:sp macro="" textlink="">
      <xdr:nvSpPr>
        <xdr:cNvPr id="967" name="Organigramme : Jonction de sommaire 966">
          <a:extLst>
            <a:ext uri="{FF2B5EF4-FFF2-40B4-BE49-F238E27FC236}">
              <a16:creationId xmlns:a16="http://schemas.microsoft.com/office/drawing/2014/main" id="{00000000-0008-0000-0700-0000C7030000}"/>
            </a:ext>
          </a:extLst>
        </xdr:cNvPr>
        <xdr:cNvSpPr/>
      </xdr:nvSpPr>
      <xdr:spPr>
        <a:xfrm>
          <a:off x="11534775" y="731139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1781226</xdr:colOff>
      <xdr:row>63</xdr:row>
      <xdr:rowOff>643460</xdr:rowOff>
    </xdr:from>
    <xdr:to>
      <xdr:col>5</xdr:col>
      <xdr:colOff>2015688</xdr:colOff>
      <xdr:row>63</xdr:row>
      <xdr:rowOff>870594</xdr:rowOff>
    </xdr:to>
    <xdr:sp macro="" textlink="">
      <xdr:nvSpPr>
        <xdr:cNvPr id="968" name="Organigramme : Jonction de sommaire 967">
          <a:extLst>
            <a:ext uri="{FF2B5EF4-FFF2-40B4-BE49-F238E27FC236}">
              <a16:creationId xmlns:a16="http://schemas.microsoft.com/office/drawing/2014/main" id="{00000000-0008-0000-0700-0000C8030000}"/>
            </a:ext>
          </a:extLst>
        </xdr:cNvPr>
        <xdr:cNvSpPr/>
      </xdr:nvSpPr>
      <xdr:spPr>
        <a:xfrm>
          <a:off x="12458751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1454263</xdr:colOff>
      <xdr:row>63</xdr:row>
      <xdr:rowOff>643460</xdr:rowOff>
    </xdr:from>
    <xdr:to>
      <xdr:col>5</xdr:col>
      <xdr:colOff>1688725</xdr:colOff>
      <xdr:row>63</xdr:row>
      <xdr:rowOff>870594</xdr:rowOff>
    </xdr:to>
    <xdr:sp macro="" textlink="">
      <xdr:nvSpPr>
        <xdr:cNvPr id="969" name="Organigramme : Jonction de sommaire 968">
          <a:extLst>
            <a:ext uri="{FF2B5EF4-FFF2-40B4-BE49-F238E27FC236}">
              <a16:creationId xmlns:a16="http://schemas.microsoft.com/office/drawing/2014/main" id="{00000000-0008-0000-0700-0000C9030000}"/>
            </a:ext>
          </a:extLst>
        </xdr:cNvPr>
        <xdr:cNvSpPr/>
      </xdr:nvSpPr>
      <xdr:spPr>
        <a:xfrm>
          <a:off x="12131788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1158988</xdr:colOff>
      <xdr:row>63</xdr:row>
      <xdr:rowOff>643460</xdr:rowOff>
    </xdr:from>
    <xdr:to>
      <xdr:col>5</xdr:col>
      <xdr:colOff>1393450</xdr:colOff>
      <xdr:row>63</xdr:row>
      <xdr:rowOff>870594</xdr:rowOff>
    </xdr:to>
    <xdr:sp macro="" textlink="">
      <xdr:nvSpPr>
        <xdr:cNvPr id="970" name="Organigramme : Jonction de sommaire 969">
          <a:extLst>
            <a:ext uri="{FF2B5EF4-FFF2-40B4-BE49-F238E27FC236}">
              <a16:creationId xmlns:a16="http://schemas.microsoft.com/office/drawing/2014/main" id="{00000000-0008-0000-0700-0000CA030000}"/>
            </a:ext>
          </a:extLst>
        </xdr:cNvPr>
        <xdr:cNvSpPr/>
      </xdr:nvSpPr>
      <xdr:spPr>
        <a:xfrm>
          <a:off x="11836513" y="7311918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590550</xdr:colOff>
      <xdr:row>65</xdr:row>
      <xdr:rowOff>698622</xdr:rowOff>
    </xdr:from>
    <xdr:to>
      <xdr:col>5</xdr:col>
      <xdr:colOff>825012</xdr:colOff>
      <xdr:row>65</xdr:row>
      <xdr:rowOff>925756</xdr:rowOff>
    </xdr:to>
    <xdr:sp macro="" textlink="">
      <xdr:nvSpPr>
        <xdr:cNvPr id="991" name="Organigramme : Jonction de sommaire 990">
          <a:extLst>
            <a:ext uri="{FF2B5EF4-FFF2-40B4-BE49-F238E27FC236}">
              <a16:creationId xmlns:a16="http://schemas.microsoft.com/office/drawing/2014/main" id="{00000000-0008-0000-0700-0000DF030000}"/>
            </a:ext>
          </a:extLst>
        </xdr:cNvPr>
        <xdr:cNvSpPr/>
      </xdr:nvSpPr>
      <xdr:spPr>
        <a:xfrm>
          <a:off x="11268075" y="812896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1881920</xdr:colOff>
      <xdr:row>65</xdr:row>
      <xdr:rowOff>705948</xdr:rowOff>
    </xdr:from>
    <xdr:to>
      <xdr:col>5</xdr:col>
      <xdr:colOff>2116382</xdr:colOff>
      <xdr:row>65</xdr:row>
      <xdr:rowOff>933082</xdr:rowOff>
    </xdr:to>
    <xdr:sp macro="" textlink="">
      <xdr:nvSpPr>
        <xdr:cNvPr id="992" name="Organigramme : Jonction de sommaire 991">
          <a:extLst>
            <a:ext uri="{FF2B5EF4-FFF2-40B4-BE49-F238E27FC236}">
              <a16:creationId xmlns:a16="http://schemas.microsoft.com/office/drawing/2014/main" id="{00000000-0008-0000-0700-0000E0030000}"/>
            </a:ext>
          </a:extLst>
        </xdr:cNvPr>
        <xdr:cNvSpPr/>
      </xdr:nvSpPr>
      <xdr:spPr>
        <a:xfrm>
          <a:off x="12559445" y="812969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1010933</xdr:colOff>
      <xdr:row>65</xdr:row>
      <xdr:rowOff>685800</xdr:rowOff>
    </xdr:from>
    <xdr:to>
      <xdr:col>5</xdr:col>
      <xdr:colOff>1245395</xdr:colOff>
      <xdr:row>65</xdr:row>
      <xdr:rowOff>912934</xdr:rowOff>
    </xdr:to>
    <xdr:sp macro="" textlink="">
      <xdr:nvSpPr>
        <xdr:cNvPr id="993" name="Organigramme : Jonction de sommaire 992">
          <a:extLst>
            <a:ext uri="{FF2B5EF4-FFF2-40B4-BE49-F238E27FC236}">
              <a16:creationId xmlns:a16="http://schemas.microsoft.com/office/drawing/2014/main" id="{00000000-0008-0000-0700-0000E1030000}"/>
            </a:ext>
          </a:extLst>
        </xdr:cNvPr>
        <xdr:cNvSpPr/>
      </xdr:nvSpPr>
      <xdr:spPr>
        <a:xfrm>
          <a:off x="11688458" y="812768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1451464</xdr:colOff>
      <xdr:row>65</xdr:row>
      <xdr:rowOff>697705</xdr:rowOff>
    </xdr:from>
    <xdr:to>
      <xdr:col>5</xdr:col>
      <xdr:colOff>1685926</xdr:colOff>
      <xdr:row>65</xdr:row>
      <xdr:rowOff>924839</xdr:rowOff>
    </xdr:to>
    <xdr:sp macro="" textlink="">
      <xdr:nvSpPr>
        <xdr:cNvPr id="994" name="Organigramme : Jonction de sommaire 993">
          <a:extLst>
            <a:ext uri="{FF2B5EF4-FFF2-40B4-BE49-F238E27FC236}">
              <a16:creationId xmlns:a16="http://schemas.microsoft.com/office/drawing/2014/main" id="{00000000-0008-0000-0700-0000E2030000}"/>
            </a:ext>
          </a:extLst>
        </xdr:cNvPr>
        <xdr:cNvSpPr/>
      </xdr:nvSpPr>
      <xdr:spPr>
        <a:xfrm>
          <a:off x="12128989" y="812887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609600</xdr:colOff>
      <xdr:row>67</xdr:row>
      <xdr:rowOff>717672</xdr:rowOff>
    </xdr:from>
    <xdr:to>
      <xdr:col>5</xdr:col>
      <xdr:colOff>844062</xdr:colOff>
      <xdr:row>67</xdr:row>
      <xdr:rowOff>944806</xdr:rowOff>
    </xdr:to>
    <xdr:sp macro="" textlink="">
      <xdr:nvSpPr>
        <xdr:cNvPr id="999" name="Organigramme : Jonction de sommaire 998">
          <a:extLst>
            <a:ext uri="{FF2B5EF4-FFF2-40B4-BE49-F238E27FC236}">
              <a16:creationId xmlns:a16="http://schemas.microsoft.com/office/drawing/2014/main" id="{00000000-0008-0000-0700-0000E7030000}"/>
            </a:ext>
          </a:extLst>
        </xdr:cNvPr>
        <xdr:cNvSpPr/>
      </xdr:nvSpPr>
      <xdr:spPr>
        <a:xfrm>
          <a:off x="11287125" y="93481647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1900970</xdr:colOff>
      <xdr:row>67</xdr:row>
      <xdr:rowOff>724998</xdr:rowOff>
    </xdr:from>
    <xdr:to>
      <xdr:col>5</xdr:col>
      <xdr:colOff>2135432</xdr:colOff>
      <xdr:row>67</xdr:row>
      <xdr:rowOff>952132</xdr:rowOff>
    </xdr:to>
    <xdr:sp macro="" textlink="">
      <xdr:nvSpPr>
        <xdr:cNvPr id="1000" name="Organigramme : Jonction de sommaire 999">
          <a:extLst>
            <a:ext uri="{FF2B5EF4-FFF2-40B4-BE49-F238E27FC236}">
              <a16:creationId xmlns:a16="http://schemas.microsoft.com/office/drawing/2014/main" id="{00000000-0008-0000-0700-0000E8030000}"/>
            </a:ext>
          </a:extLst>
        </xdr:cNvPr>
        <xdr:cNvSpPr/>
      </xdr:nvSpPr>
      <xdr:spPr>
        <a:xfrm>
          <a:off x="12578495" y="93488973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1029983</xdr:colOff>
      <xdr:row>67</xdr:row>
      <xdr:rowOff>704850</xdr:rowOff>
    </xdr:from>
    <xdr:to>
      <xdr:col>5</xdr:col>
      <xdr:colOff>1264445</xdr:colOff>
      <xdr:row>67</xdr:row>
      <xdr:rowOff>931984</xdr:rowOff>
    </xdr:to>
    <xdr:sp macro="" textlink="">
      <xdr:nvSpPr>
        <xdr:cNvPr id="1001" name="Organigramme : Jonction de sommaire 1000">
          <a:extLst>
            <a:ext uri="{FF2B5EF4-FFF2-40B4-BE49-F238E27FC236}">
              <a16:creationId xmlns:a16="http://schemas.microsoft.com/office/drawing/2014/main" id="{00000000-0008-0000-0700-0000E9030000}"/>
            </a:ext>
          </a:extLst>
        </xdr:cNvPr>
        <xdr:cNvSpPr/>
      </xdr:nvSpPr>
      <xdr:spPr>
        <a:xfrm>
          <a:off x="11707508" y="9346882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1470514</xdr:colOff>
      <xdr:row>67</xdr:row>
      <xdr:rowOff>716755</xdr:rowOff>
    </xdr:from>
    <xdr:to>
      <xdr:col>5</xdr:col>
      <xdr:colOff>1704976</xdr:colOff>
      <xdr:row>67</xdr:row>
      <xdr:rowOff>943889</xdr:rowOff>
    </xdr:to>
    <xdr:sp macro="" textlink="">
      <xdr:nvSpPr>
        <xdr:cNvPr id="1002" name="Organigramme : Jonction de sommaire 1001">
          <a:extLst>
            <a:ext uri="{FF2B5EF4-FFF2-40B4-BE49-F238E27FC236}">
              <a16:creationId xmlns:a16="http://schemas.microsoft.com/office/drawing/2014/main" id="{00000000-0008-0000-0700-0000EA030000}"/>
            </a:ext>
          </a:extLst>
        </xdr:cNvPr>
        <xdr:cNvSpPr/>
      </xdr:nvSpPr>
      <xdr:spPr>
        <a:xfrm>
          <a:off x="12148039" y="9348073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1600200</xdr:colOff>
      <xdr:row>75</xdr:row>
      <xdr:rowOff>1362075</xdr:rowOff>
    </xdr:from>
    <xdr:to>
      <xdr:col>5</xdr:col>
      <xdr:colOff>1834662</xdr:colOff>
      <xdr:row>75</xdr:row>
      <xdr:rowOff>1589209</xdr:rowOff>
    </xdr:to>
    <xdr:sp macro="" textlink="">
      <xdr:nvSpPr>
        <xdr:cNvPr id="1007" name="Organigramme : Jonction de sommaire 1006">
          <a:extLst>
            <a:ext uri="{FF2B5EF4-FFF2-40B4-BE49-F238E27FC236}">
              <a16:creationId xmlns:a16="http://schemas.microsoft.com/office/drawing/2014/main" id="{00000000-0008-0000-0700-0000EF030000}"/>
            </a:ext>
          </a:extLst>
        </xdr:cNvPr>
        <xdr:cNvSpPr/>
      </xdr:nvSpPr>
      <xdr:spPr>
        <a:xfrm>
          <a:off x="12277725" y="1306449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971550</xdr:colOff>
      <xdr:row>75</xdr:row>
      <xdr:rowOff>1352550</xdr:rowOff>
    </xdr:from>
    <xdr:to>
      <xdr:col>5</xdr:col>
      <xdr:colOff>1206012</xdr:colOff>
      <xdr:row>75</xdr:row>
      <xdr:rowOff>1579684</xdr:rowOff>
    </xdr:to>
    <xdr:sp macro="" textlink="">
      <xdr:nvSpPr>
        <xdr:cNvPr id="1008" name="Organigramme : Jonction de sommaire 1007">
          <a:extLst>
            <a:ext uri="{FF2B5EF4-FFF2-40B4-BE49-F238E27FC236}">
              <a16:creationId xmlns:a16="http://schemas.microsoft.com/office/drawing/2014/main" id="{00000000-0008-0000-0700-0000F0030000}"/>
            </a:ext>
          </a:extLst>
        </xdr:cNvPr>
        <xdr:cNvSpPr/>
      </xdr:nvSpPr>
      <xdr:spPr>
        <a:xfrm>
          <a:off x="11649075" y="1306353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1600200</xdr:colOff>
      <xdr:row>78</xdr:row>
      <xdr:rowOff>1362075</xdr:rowOff>
    </xdr:from>
    <xdr:to>
      <xdr:col>5</xdr:col>
      <xdr:colOff>1834662</xdr:colOff>
      <xdr:row>78</xdr:row>
      <xdr:rowOff>1589209</xdr:rowOff>
    </xdr:to>
    <xdr:sp macro="" textlink="">
      <xdr:nvSpPr>
        <xdr:cNvPr id="1011" name="Organigramme : Jonction de sommaire 1010">
          <a:extLst>
            <a:ext uri="{FF2B5EF4-FFF2-40B4-BE49-F238E27FC236}">
              <a16:creationId xmlns:a16="http://schemas.microsoft.com/office/drawing/2014/main" id="{00000000-0008-0000-0700-0000F3030000}"/>
            </a:ext>
          </a:extLst>
        </xdr:cNvPr>
        <xdr:cNvSpPr/>
      </xdr:nvSpPr>
      <xdr:spPr>
        <a:xfrm>
          <a:off x="12277725" y="1468755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990600</xdr:colOff>
      <xdr:row>78</xdr:row>
      <xdr:rowOff>1362075</xdr:rowOff>
    </xdr:from>
    <xdr:to>
      <xdr:col>5</xdr:col>
      <xdr:colOff>1225062</xdr:colOff>
      <xdr:row>78</xdr:row>
      <xdr:rowOff>1589209</xdr:rowOff>
    </xdr:to>
    <xdr:sp macro="" textlink="">
      <xdr:nvSpPr>
        <xdr:cNvPr id="1012" name="Organigramme : Jonction de sommaire 1011">
          <a:extLst>
            <a:ext uri="{FF2B5EF4-FFF2-40B4-BE49-F238E27FC236}">
              <a16:creationId xmlns:a16="http://schemas.microsoft.com/office/drawing/2014/main" id="{00000000-0008-0000-0700-0000F4030000}"/>
            </a:ext>
          </a:extLst>
        </xdr:cNvPr>
        <xdr:cNvSpPr/>
      </xdr:nvSpPr>
      <xdr:spPr>
        <a:xfrm>
          <a:off x="11668125" y="14687550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1628775</xdr:colOff>
      <xdr:row>81</xdr:row>
      <xdr:rowOff>542925</xdr:rowOff>
    </xdr:from>
    <xdr:to>
      <xdr:col>5</xdr:col>
      <xdr:colOff>1863237</xdr:colOff>
      <xdr:row>81</xdr:row>
      <xdr:rowOff>770059</xdr:rowOff>
    </xdr:to>
    <xdr:sp macro="" textlink="">
      <xdr:nvSpPr>
        <xdr:cNvPr id="1018" name="Organigramme : Jonction de sommaire 1017">
          <a:extLst>
            <a:ext uri="{FF2B5EF4-FFF2-40B4-BE49-F238E27FC236}">
              <a16:creationId xmlns:a16="http://schemas.microsoft.com/office/drawing/2014/main" id="{00000000-0008-0000-0700-0000FA030000}"/>
            </a:ext>
          </a:extLst>
        </xdr:cNvPr>
        <xdr:cNvSpPr/>
      </xdr:nvSpPr>
      <xdr:spPr>
        <a:xfrm>
          <a:off x="12306300" y="1622869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800100</xdr:colOff>
      <xdr:row>81</xdr:row>
      <xdr:rowOff>552450</xdr:rowOff>
    </xdr:from>
    <xdr:to>
      <xdr:col>5</xdr:col>
      <xdr:colOff>1034562</xdr:colOff>
      <xdr:row>81</xdr:row>
      <xdr:rowOff>779584</xdr:rowOff>
    </xdr:to>
    <xdr:sp macro="" textlink="">
      <xdr:nvSpPr>
        <xdr:cNvPr id="1019" name="Organigramme : Jonction de sommaire 1018">
          <a:extLst>
            <a:ext uri="{FF2B5EF4-FFF2-40B4-BE49-F238E27FC236}">
              <a16:creationId xmlns:a16="http://schemas.microsoft.com/office/drawing/2014/main" id="{00000000-0008-0000-0700-0000FB030000}"/>
            </a:ext>
          </a:extLst>
        </xdr:cNvPr>
        <xdr:cNvSpPr/>
      </xdr:nvSpPr>
      <xdr:spPr>
        <a:xfrm>
          <a:off x="11477625" y="1622964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1647825</xdr:colOff>
      <xdr:row>84</xdr:row>
      <xdr:rowOff>1390650</xdr:rowOff>
    </xdr:from>
    <xdr:to>
      <xdr:col>5</xdr:col>
      <xdr:colOff>1882287</xdr:colOff>
      <xdr:row>84</xdr:row>
      <xdr:rowOff>1617784</xdr:rowOff>
    </xdr:to>
    <xdr:sp macro="" textlink="">
      <xdr:nvSpPr>
        <xdr:cNvPr id="1022" name="Organigramme : Jonction de sommaire 1021">
          <a:extLst>
            <a:ext uri="{FF2B5EF4-FFF2-40B4-BE49-F238E27FC236}">
              <a16:creationId xmlns:a16="http://schemas.microsoft.com/office/drawing/2014/main" id="{00000000-0008-0000-0700-0000FE030000}"/>
            </a:ext>
          </a:extLst>
        </xdr:cNvPr>
        <xdr:cNvSpPr/>
      </xdr:nvSpPr>
      <xdr:spPr>
        <a:xfrm>
          <a:off x="12325350" y="179365275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809625</xdr:colOff>
      <xdr:row>84</xdr:row>
      <xdr:rowOff>1381125</xdr:rowOff>
    </xdr:from>
    <xdr:to>
      <xdr:col>5</xdr:col>
      <xdr:colOff>1044087</xdr:colOff>
      <xdr:row>84</xdr:row>
      <xdr:rowOff>1608259</xdr:rowOff>
    </xdr:to>
    <xdr:sp macro="" textlink="">
      <xdr:nvSpPr>
        <xdr:cNvPr id="1023" name="Organigramme : Jonction de sommaire 1022">
          <a:extLst>
            <a:ext uri="{FF2B5EF4-FFF2-40B4-BE49-F238E27FC236}">
              <a16:creationId xmlns:a16="http://schemas.microsoft.com/office/drawing/2014/main" id="{00000000-0008-0000-0700-0000FF030000}"/>
            </a:ext>
          </a:extLst>
        </xdr:cNvPr>
        <xdr:cNvSpPr/>
      </xdr:nvSpPr>
      <xdr:spPr>
        <a:xfrm>
          <a:off x="11487150" y="179355750"/>
          <a:ext cx="234462" cy="227134"/>
        </a:xfrm>
        <a:prstGeom prst="flowChartSummingJunctio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5</xdr:col>
      <xdr:colOff>381000</xdr:colOff>
      <xdr:row>96</xdr:row>
      <xdr:rowOff>130126</xdr:rowOff>
    </xdr:from>
    <xdr:to>
      <xdr:col>5</xdr:col>
      <xdr:colOff>2555344</xdr:colOff>
      <xdr:row>96</xdr:row>
      <xdr:rowOff>1936750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7344001"/>
          <a:ext cx="2174344" cy="1806624"/>
        </a:xfrm>
        <a:prstGeom prst="rect">
          <a:avLst/>
        </a:prstGeom>
      </xdr:spPr>
    </xdr:pic>
    <xdr:clientData/>
  </xdr:twoCellAnchor>
  <xdr:twoCellAnchor editAs="oneCell">
    <xdr:from>
      <xdr:col>5</xdr:col>
      <xdr:colOff>271250</xdr:colOff>
      <xdr:row>95</xdr:row>
      <xdr:rowOff>132125</xdr:rowOff>
    </xdr:from>
    <xdr:to>
      <xdr:col>5</xdr:col>
      <xdr:colOff>2476500</xdr:colOff>
      <xdr:row>95</xdr:row>
      <xdr:rowOff>1924882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250000"/>
          <a:ext cx="2205250" cy="1792757"/>
        </a:xfrm>
        <a:prstGeom prst="rect">
          <a:avLst/>
        </a:prstGeom>
      </xdr:spPr>
    </xdr:pic>
    <xdr:clientData/>
  </xdr:twoCellAnchor>
  <xdr:twoCellAnchor editAs="oneCell">
    <xdr:from>
      <xdr:col>5</xdr:col>
      <xdr:colOff>314467</xdr:colOff>
      <xdr:row>97</xdr:row>
      <xdr:rowOff>90125</xdr:rowOff>
    </xdr:from>
    <xdr:to>
      <xdr:col>5</xdr:col>
      <xdr:colOff>2545598</xdr:colOff>
      <xdr:row>97</xdr:row>
      <xdr:rowOff>1905000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9336000"/>
          <a:ext cx="2231131" cy="181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216250</xdr:colOff>
      <xdr:row>93</xdr:row>
      <xdr:rowOff>57625</xdr:rowOff>
    </xdr:from>
    <xdr:to>
      <xdr:col>5</xdr:col>
      <xdr:colOff>2524125</xdr:colOff>
      <xdr:row>93</xdr:row>
      <xdr:rowOff>1919661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81175500"/>
          <a:ext cx="2307875" cy="1862036"/>
        </a:xfrm>
        <a:prstGeom prst="rect">
          <a:avLst/>
        </a:prstGeom>
      </xdr:spPr>
    </xdr:pic>
    <xdr:clientData/>
  </xdr:twoCellAnchor>
  <xdr:twoCellAnchor editAs="oneCell">
    <xdr:from>
      <xdr:col>5</xdr:col>
      <xdr:colOff>261125</xdr:colOff>
      <xdr:row>92</xdr:row>
      <xdr:rowOff>127125</xdr:rowOff>
    </xdr:from>
    <xdr:to>
      <xdr:col>5</xdr:col>
      <xdr:colOff>2508250</xdr:colOff>
      <xdr:row>92</xdr:row>
      <xdr:rowOff>1924825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9213000"/>
          <a:ext cx="2247125" cy="179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266473</xdr:colOff>
      <xdr:row>94</xdr:row>
      <xdr:rowOff>103250</xdr:rowOff>
    </xdr:from>
    <xdr:to>
      <xdr:col>5</xdr:col>
      <xdr:colOff>2505791</xdr:colOff>
      <xdr:row>94</xdr:row>
      <xdr:rowOff>1905000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83253125"/>
          <a:ext cx="2239318" cy="1801750"/>
        </a:xfrm>
        <a:prstGeom prst="rect">
          <a:avLst/>
        </a:prstGeom>
      </xdr:spPr>
    </xdr:pic>
    <xdr:clientData/>
  </xdr:twoCellAnchor>
  <xdr:oneCellAnchor>
    <xdr:from>
      <xdr:col>5</xdr:col>
      <xdr:colOff>381000</xdr:colOff>
      <xdr:row>102</xdr:row>
      <xdr:rowOff>130126</xdr:rowOff>
    </xdr:from>
    <xdr:ext cx="2174344" cy="1806624"/>
    <xdr:pic>
      <xdr:nvPicPr>
        <xdr:cNvPr id="858" name="Image 857">
          <a:extLst>
            <a:ext uri="{FF2B5EF4-FFF2-40B4-BE49-F238E27FC236}">
              <a16:creationId xmlns:a16="http://schemas.microsoft.com/office/drawing/2014/main" id="{00000000-0008-0000-0700-00005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3661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101</xdr:row>
      <xdr:rowOff>132125</xdr:rowOff>
    </xdr:from>
    <xdr:ext cx="2205250" cy="1792757"/>
    <xdr:pic>
      <xdr:nvPicPr>
        <xdr:cNvPr id="859" name="Image 858">
          <a:extLst>
            <a:ext uri="{FF2B5EF4-FFF2-40B4-BE49-F238E27FC236}">
              <a16:creationId xmlns:a16="http://schemas.microsoft.com/office/drawing/2014/main" id="{00000000-0008-0000-0700-00005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631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103</xdr:row>
      <xdr:rowOff>90125</xdr:rowOff>
    </xdr:from>
    <xdr:ext cx="2231131" cy="1814875"/>
    <xdr:pic>
      <xdr:nvPicPr>
        <xdr:cNvPr id="860" name="Image 859">
          <a:extLst>
            <a:ext uri="{FF2B5EF4-FFF2-40B4-BE49-F238E27FC236}">
              <a16:creationId xmlns:a16="http://schemas.microsoft.com/office/drawing/2014/main" id="{00000000-0008-0000-0700-00005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5653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99</xdr:row>
      <xdr:rowOff>57625</xdr:rowOff>
    </xdr:from>
    <xdr:ext cx="2307875" cy="1862036"/>
    <xdr:pic>
      <xdr:nvPicPr>
        <xdr:cNvPr id="861" name="Image 860">
          <a:extLst>
            <a:ext uri="{FF2B5EF4-FFF2-40B4-BE49-F238E27FC236}">
              <a16:creationId xmlns:a16="http://schemas.microsoft.com/office/drawing/2014/main" id="{00000000-0008-0000-0700-00005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77492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98</xdr:row>
      <xdr:rowOff>127125</xdr:rowOff>
    </xdr:from>
    <xdr:ext cx="2247125" cy="1797700"/>
    <xdr:pic>
      <xdr:nvPicPr>
        <xdr:cNvPr id="862" name="Image 861">
          <a:extLst>
            <a:ext uri="{FF2B5EF4-FFF2-40B4-BE49-F238E27FC236}">
              <a16:creationId xmlns:a16="http://schemas.microsoft.com/office/drawing/2014/main" id="{00000000-0008-0000-0700-00005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5530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100</xdr:row>
      <xdr:rowOff>103250</xdr:rowOff>
    </xdr:from>
    <xdr:ext cx="2239318" cy="1801750"/>
    <xdr:pic>
      <xdr:nvPicPr>
        <xdr:cNvPr id="863" name="Image 862">
          <a:extLst>
            <a:ext uri="{FF2B5EF4-FFF2-40B4-BE49-F238E27FC236}">
              <a16:creationId xmlns:a16="http://schemas.microsoft.com/office/drawing/2014/main" id="{00000000-0008-0000-0700-00005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79570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108</xdr:row>
      <xdr:rowOff>130126</xdr:rowOff>
    </xdr:from>
    <xdr:ext cx="2174344" cy="1806624"/>
    <xdr:pic>
      <xdr:nvPicPr>
        <xdr:cNvPr id="864" name="Image 863">
          <a:extLst>
            <a:ext uri="{FF2B5EF4-FFF2-40B4-BE49-F238E27FC236}">
              <a16:creationId xmlns:a16="http://schemas.microsoft.com/office/drawing/2014/main" id="{00000000-0008-0000-0700-00006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183661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107</xdr:row>
      <xdr:rowOff>132125</xdr:rowOff>
    </xdr:from>
    <xdr:ext cx="2205250" cy="1792757"/>
    <xdr:pic>
      <xdr:nvPicPr>
        <xdr:cNvPr id="865" name="Image 864">
          <a:extLst>
            <a:ext uri="{FF2B5EF4-FFF2-40B4-BE49-F238E27FC236}">
              <a16:creationId xmlns:a16="http://schemas.microsoft.com/office/drawing/2014/main" id="{00000000-0008-0000-0700-00006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181631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109</xdr:row>
      <xdr:rowOff>90125</xdr:rowOff>
    </xdr:from>
    <xdr:ext cx="2231131" cy="1814875"/>
    <xdr:pic>
      <xdr:nvPicPr>
        <xdr:cNvPr id="866" name="Image 865">
          <a:extLst>
            <a:ext uri="{FF2B5EF4-FFF2-40B4-BE49-F238E27FC236}">
              <a16:creationId xmlns:a16="http://schemas.microsoft.com/office/drawing/2014/main" id="{00000000-0008-0000-0700-00006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185653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105</xdr:row>
      <xdr:rowOff>57625</xdr:rowOff>
    </xdr:from>
    <xdr:ext cx="2307875" cy="1862036"/>
    <xdr:pic>
      <xdr:nvPicPr>
        <xdr:cNvPr id="867" name="Image 866">
          <a:extLst>
            <a:ext uri="{FF2B5EF4-FFF2-40B4-BE49-F238E27FC236}">
              <a16:creationId xmlns:a16="http://schemas.microsoft.com/office/drawing/2014/main" id="{00000000-0008-0000-0700-000063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177492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104</xdr:row>
      <xdr:rowOff>127125</xdr:rowOff>
    </xdr:from>
    <xdr:ext cx="2247125" cy="1797700"/>
    <xdr:pic>
      <xdr:nvPicPr>
        <xdr:cNvPr id="875" name="Image 874">
          <a:extLst>
            <a:ext uri="{FF2B5EF4-FFF2-40B4-BE49-F238E27FC236}">
              <a16:creationId xmlns:a16="http://schemas.microsoft.com/office/drawing/2014/main" id="{00000000-0008-0000-0700-00006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75530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106</xdr:row>
      <xdr:rowOff>103250</xdr:rowOff>
    </xdr:from>
    <xdr:ext cx="2239318" cy="1801750"/>
    <xdr:pic>
      <xdr:nvPicPr>
        <xdr:cNvPr id="890" name="Image 889">
          <a:extLst>
            <a:ext uri="{FF2B5EF4-FFF2-40B4-BE49-F238E27FC236}">
              <a16:creationId xmlns:a16="http://schemas.microsoft.com/office/drawing/2014/main" id="{00000000-0008-0000-0700-00007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179570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114</xdr:row>
      <xdr:rowOff>130126</xdr:rowOff>
    </xdr:from>
    <xdr:ext cx="2174344" cy="1806624"/>
    <xdr:pic>
      <xdr:nvPicPr>
        <xdr:cNvPr id="891" name="Image 890">
          <a:extLst>
            <a:ext uri="{FF2B5EF4-FFF2-40B4-BE49-F238E27FC236}">
              <a16:creationId xmlns:a16="http://schemas.microsoft.com/office/drawing/2014/main" id="{00000000-0008-0000-0700-00007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208045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113</xdr:row>
      <xdr:rowOff>132125</xdr:rowOff>
    </xdr:from>
    <xdr:ext cx="2205250" cy="1792757"/>
    <xdr:pic>
      <xdr:nvPicPr>
        <xdr:cNvPr id="894" name="Image 893">
          <a:extLst>
            <a:ext uri="{FF2B5EF4-FFF2-40B4-BE49-F238E27FC236}">
              <a16:creationId xmlns:a16="http://schemas.microsoft.com/office/drawing/2014/main" id="{00000000-0008-0000-0700-00007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206015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115</xdr:row>
      <xdr:rowOff>90125</xdr:rowOff>
    </xdr:from>
    <xdr:ext cx="2231131" cy="1814875"/>
    <xdr:pic>
      <xdr:nvPicPr>
        <xdr:cNvPr id="895" name="Image 894">
          <a:extLst>
            <a:ext uri="{FF2B5EF4-FFF2-40B4-BE49-F238E27FC236}">
              <a16:creationId xmlns:a16="http://schemas.microsoft.com/office/drawing/2014/main" id="{00000000-0008-0000-0700-00007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210037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111</xdr:row>
      <xdr:rowOff>57625</xdr:rowOff>
    </xdr:from>
    <xdr:ext cx="2307875" cy="1862036"/>
    <xdr:pic>
      <xdr:nvPicPr>
        <xdr:cNvPr id="897" name="Image 896">
          <a:extLst>
            <a:ext uri="{FF2B5EF4-FFF2-40B4-BE49-F238E27FC236}">
              <a16:creationId xmlns:a16="http://schemas.microsoft.com/office/drawing/2014/main" id="{00000000-0008-0000-0700-00008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201876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110</xdr:row>
      <xdr:rowOff>127125</xdr:rowOff>
    </xdr:from>
    <xdr:ext cx="2247125" cy="1797700"/>
    <xdr:pic>
      <xdr:nvPicPr>
        <xdr:cNvPr id="898" name="Image 897">
          <a:extLst>
            <a:ext uri="{FF2B5EF4-FFF2-40B4-BE49-F238E27FC236}">
              <a16:creationId xmlns:a16="http://schemas.microsoft.com/office/drawing/2014/main" id="{00000000-0008-0000-0700-00008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199914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112</xdr:row>
      <xdr:rowOff>103250</xdr:rowOff>
    </xdr:from>
    <xdr:ext cx="2239318" cy="1801750"/>
    <xdr:pic>
      <xdr:nvPicPr>
        <xdr:cNvPr id="916" name="Image 915">
          <a:extLst>
            <a:ext uri="{FF2B5EF4-FFF2-40B4-BE49-F238E27FC236}">
              <a16:creationId xmlns:a16="http://schemas.microsoft.com/office/drawing/2014/main" id="{00000000-0008-0000-0700-00009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203954125"/>
          <a:ext cx="2239318" cy="18017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120</xdr:row>
      <xdr:rowOff>130126</xdr:rowOff>
    </xdr:from>
    <xdr:ext cx="2174344" cy="1806624"/>
    <xdr:pic>
      <xdr:nvPicPr>
        <xdr:cNvPr id="917" name="Image 916">
          <a:extLst>
            <a:ext uri="{FF2B5EF4-FFF2-40B4-BE49-F238E27FC236}">
              <a16:creationId xmlns:a16="http://schemas.microsoft.com/office/drawing/2014/main" id="{00000000-0008-0000-0700-00009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4" t="6424" r="24448" b="7756"/>
        <a:stretch/>
      </xdr:blipFill>
      <xdr:spPr>
        <a:xfrm>
          <a:off x="8334375" y="220237001"/>
          <a:ext cx="2174344" cy="1806624"/>
        </a:xfrm>
        <a:prstGeom prst="rect">
          <a:avLst/>
        </a:prstGeom>
      </xdr:spPr>
    </xdr:pic>
    <xdr:clientData/>
  </xdr:oneCellAnchor>
  <xdr:oneCellAnchor>
    <xdr:from>
      <xdr:col>5</xdr:col>
      <xdr:colOff>271250</xdr:colOff>
      <xdr:row>119</xdr:row>
      <xdr:rowOff>132125</xdr:rowOff>
    </xdr:from>
    <xdr:ext cx="2205250" cy="1792757"/>
    <xdr:pic>
      <xdr:nvPicPr>
        <xdr:cNvPr id="918" name="Image 917">
          <a:extLst>
            <a:ext uri="{FF2B5EF4-FFF2-40B4-BE49-F238E27FC236}">
              <a16:creationId xmlns:a16="http://schemas.microsoft.com/office/drawing/2014/main" id="{00000000-0008-0000-0700-00009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5" t="6132" r="24508" b="8048"/>
        <a:stretch/>
      </xdr:blipFill>
      <xdr:spPr>
        <a:xfrm>
          <a:off x="8224625" y="218207000"/>
          <a:ext cx="2205250" cy="1792757"/>
        </a:xfrm>
        <a:prstGeom prst="rect">
          <a:avLst/>
        </a:prstGeom>
      </xdr:spPr>
    </xdr:pic>
    <xdr:clientData/>
  </xdr:oneCellAnchor>
  <xdr:oneCellAnchor>
    <xdr:from>
      <xdr:col>5</xdr:col>
      <xdr:colOff>314467</xdr:colOff>
      <xdr:row>121</xdr:row>
      <xdr:rowOff>90125</xdr:rowOff>
    </xdr:from>
    <xdr:ext cx="2231131" cy="1814875"/>
    <xdr:pic>
      <xdr:nvPicPr>
        <xdr:cNvPr id="919" name="Image 918">
          <a:extLst>
            <a:ext uri="{FF2B5EF4-FFF2-40B4-BE49-F238E27FC236}">
              <a16:creationId xmlns:a16="http://schemas.microsoft.com/office/drawing/2014/main" id="{00000000-0008-0000-0700-00009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7" t="8603" r="24988" b="8620"/>
        <a:stretch/>
      </xdr:blipFill>
      <xdr:spPr>
        <a:xfrm>
          <a:off x="8267842" y="222229000"/>
          <a:ext cx="2231131" cy="1814875"/>
        </a:xfrm>
        <a:prstGeom prst="rect">
          <a:avLst/>
        </a:prstGeom>
      </xdr:spPr>
    </xdr:pic>
    <xdr:clientData/>
  </xdr:oneCellAnchor>
  <xdr:oneCellAnchor>
    <xdr:from>
      <xdr:col>5</xdr:col>
      <xdr:colOff>216250</xdr:colOff>
      <xdr:row>117</xdr:row>
      <xdr:rowOff>57625</xdr:rowOff>
    </xdr:from>
    <xdr:ext cx="2307875" cy="1862036"/>
    <xdr:pic>
      <xdr:nvPicPr>
        <xdr:cNvPr id="920" name="Image 919">
          <a:extLst>
            <a:ext uri="{FF2B5EF4-FFF2-40B4-BE49-F238E27FC236}">
              <a16:creationId xmlns:a16="http://schemas.microsoft.com/office/drawing/2014/main" id="{00000000-0008-0000-0700-00009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3" t="27323" r="38262" b="18761"/>
        <a:stretch/>
      </xdr:blipFill>
      <xdr:spPr>
        <a:xfrm>
          <a:off x="8169625" y="214068500"/>
          <a:ext cx="2307875" cy="1862036"/>
        </a:xfrm>
        <a:prstGeom prst="rect">
          <a:avLst/>
        </a:prstGeom>
      </xdr:spPr>
    </xdr:pic>
    <xdr:clientData/>
  </xdr:oneCellAnchor>
  <xdr:oneCellAnchor>
    <xdr:from>
      <xdr:col>5</xdr:col>
      <xdr:colOff>261125</xdr:colOff>
      <xdr:row>116</xdr:row>
      <xdr:rowOff>127125</xdr:rowOff>
    </xdr:from>
    <xdr:ext cx="2247125" cy="1797700"/>
    <xdr:pic>
      <xdr:nvPicPr>
        <xdr:cNvPr id="921" name="Image 920">
          <a:extLst>
            <a:ext uri="{FF2B5EF4-FFF2-40B4-BE49-F238E27FC236}">
              <a16:creationId xmlns:a16="http://schemas.microsoft.com/office/drawing/2014/main" id="{00000000-0008-0000-0700-00009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7" t="26444" r="37411" b="18875"/>
        <a:stretch/>
      </xdr:blipFill>
      <xdr:spPr>
        <a:xfrm>
          <a:off x="8214500" y="212106000"/>
          <a:ext cx="2247125" cy="1797700"/>
        </a:xfrm>
        <a:prstGeom prst="rect">
          <a:avLst/>
        </a:prstGeom>
      </xdr:spPr>
    </xdr:pic>
    <xdr:clientData/>
  </xdr:oneCellAnchor>
  <xdr:oneCellAnchor>
    <xdr:from>
      <xdr:col>5</xdr:col>
      <xdr:colOff>266473</xdr:colOff>
      <xdr:row>118</xdr:row>
      <xdr:rowOff>103250</xdr:rowOff>
    </xdr:from>
    <xdr:ext cx="2239318" cy="1801750"/>
    <xdr:pic>
      <xdr:nvPicPr>
        <xdr:cNvPr id="922" name="Image 921">
          <a:extLst>
            <a:ext uri="{FF2B5EF4-FFF2-40B4-BE49-F238E27FC236}">
              <a16:creationId xmlns:a16="http://schemas.microsoft.com/office/drawing/2014/main" id="{00000000-0008-0000-0700-00009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26610" r="38488" b="20231"/>
        <a:stretch/>
      </xdr:blipFill>
      <xdr:spPr>
        <a:xfrm>
          <a:off x="8219848" y="216146125"/>
          <a:ext cx="2239318" cy="1801750"/>
        </a:xfrm>
        <a:prstGeom prst="rect">
          <a:avLst/>
        </a:prstGeom>
      </xdr:spPr>
    </xdr:pic>
    <xdr:clientData/>
  </xdr:oneCellAnchor>
  <xdr:twoCellAnchor>
    <xdr:from>
      <xdr:col>5</xdr:col>
      <xdr:colOff>301625</xdr:colOff>
      <xdr:row>122</xdr:row>
      <xdr:rowOff>365125</xdr:rowOff>
    </xdr:from>
    <xdr:to>
      <xdr:col>5</xdr:col>
      <xdr:colOff>2369910</xdr:colOff>
      <xdr:row>122</xdr:row>
      <xdr:rowOff>1685018</xdr:rowOff>
    </xdr:to>
    <xdr:sp macro="" textlink="">
      <xdr:nvSpPr>
        <xdr:cNvPr id="840" name="ZoneTexte 839">
          <a:extLst>
            <a:ext uri="{FF2B5EF4-FFF2-40B4-BE49-F238E27FC236}">
              <a16:creationId xmlns:a16="http://schemas.microsoft.com/office/drawing/2014/main" id="{00000000-0008-0000-0700-000048030000}"/>
            </a:ext>
          </a:extLst>
        </xdr:cNvPr>
        <xdr:cNvSpPr txBox="1"/>
      </xdr:nvSpPr>
      <xdr:spPr>
        <a:xfrm>
          <a:off x="10969625" y="236728000"/>
          <a:ext cx="2068285" cy="131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fr-FR" sz="2000" b="1"/>
        </a:p>
      </xdr:txBody>
    </xdr:sp>
    <xdr:clientData/>
  </xdr:twoCellAnchor>
  <xdr:oneCellAnchor>
    <xdr:from>
      <xdr:col>12</xdr:col>
      <xdr:colOff>350917</xdr:colOff>
      <xdr:row>55</xdr:row>
      <xdr:rowOff>27081</xdr:rowOff>
    </xdr:from>
    <xdr:ext cx="1959628" cy="1306418"/>
    <xdr:pic>
      <xdr:nvPicPr>
        <xdr:cNvPr id="848" name="Image 847">
          <a:extLst>
            <a:ext uri="{FF2B5EF4-FFF2-40B4-BE49-F238E27FC236}">
              <a16:creationId xmlns:a16="http://schemas.microsoft.com/office/drawing/2014/main" id="{00000000-0008-0000-0700-00005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654" t="9029" r="21175" b="7067"/>
        <a:stretch/>
      </xdr:blipFill>
      <xdr:spPr>
        <a:xfrm>
          <a:off x="30079500" y="56880748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53</xdr:row>
      <xdr:rowOff>53667</xdr:rowOff>
    </xdr:from>
    <xdr:ext cx="1898345" cy="1311584"/>
    <xdr:pic>
      <xdr:nvPicPr>
        <xdr:cNvPr id="849" name="Image 848">
          <a:extLst>
            <a:ext uri="{FF2B5EF4-FFF2-40B4-BE49-F238E27FC236}">
              <a16:creationId xmlns:a16="http://schemas.microsoft.com/office/drawing/2014/main" id="{00000000-0008-0000-0700-00005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204584" y="5413450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51</xdr:row>
      <xdr:rowOff>180670</xdr:rowOff>
    </xdr:from>
    <xdr:ext cx="1758828" cy="1078748"/>
    <xdr:pic>
      <xdr:nvPicPr>
        <xdr:cNvPr id="850" name="Image 849">
          <a:extLst>
            <a:ext uri="{FF2B5EF4-FFF2-40B4-BE49-F238E27FC236}">
              <a16:creationId xmlns:a16="http://schemas.microsoft.com/office/drawing/2014/main" id="{00000000-0008-0000-0700-00005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329334" y="5148867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52</xdr:row>
      <xdr:rowOff>137583</xdr:rowOff>
    </xdr:from>
    <xdr:ext cx="1758828" cy="1078748"/>
    <xdr:pic>
      <xdr:nvPicPr>
        <xdr:cNvPr id="853" name="Image 852">
          <a:extLst>
            <a:ext uri="{FF2B5EF4-FFF2-40B4-BE49-F238E27FC236}">
              <a16:creationId xmlns:a16="http://schemas.microsoft.com/office/drawing/2014/main" id="{00000000-0008-0000-0700-00005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225999" y="5283200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54</xdr:row>
      <xdr:rowOff>42333</xdr:rowOff>
    </xdr:from>
    <xdr:ext cx="1898345" cy="1311584"/>
    <xdr:pic>
      <xdr:nvPicPr>
        <xdr:cNvPr id="854" name="Image 853">
          <a:extLst>
            <a:ext uri="{FF2B5EF4-FFF2-40B4-BE49-F238E27FC236}">
              <a16:creationId xmlns:a16="http://schemas.microsoft.com/office/drawing/2014/main" id="{00000000-0008-0000-0700-00005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162500" y="55509583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317500</xdr:colOff>
      <xdr:row>56</xdr:row>
      <xdr:rowOff>31750</xdr:rowOff>
    </xdr:from>
    <xdr:ext cx="1959628" cy="1306418"/>
    <xdr:pic>
      <xdr:nvPicPr>
        <xdr:cNvPr id="855" name="Image 854">
          <a:extLst>
            <a:ext uri="{FF2B5EF4-FFF2-40B4-BE49-F238E27FC236}">
              <a16:creationId xmlns:a16="http://schemas.microsoft.com/office/drawing/2014/main" id="{00000000-0008-0000-0700-00005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654" t="9029" r="21175" b="7067"/>
        <a:stretch/>
      </xdr:blipFill>
      <xdr:spPr>
        <a:xfrm>
          <a:off x="30046083" y="58271833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350917</xdr:colOff>
      <xdr:row>45</xdr:row>
      <xdr:rowOff>27081</xdr:rowOff>
    </xdr:from>
    <xdr:ext cx="1959628" cy="1306418"/>
    <xdr:pic>
      <xdr:nvPicPr>
        <xdr:cNvPr id="856" name="Image 855">
          <a:extLst>
            <a:ext uri="{FF2B5EF4-FFF2-40B4-BE49-F238E27FC236}">
              <a16:creationId xmlns:a16="http://schemas.microsoft.com/office/drawing/2014/main" id="{00000000-0008-0000-0700-00005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654" t="9029" r="21175" b="7067"/>
        <a:stretch/>
      </xdr:blipFill>
      <xdr:spPr>
        <a:xfrm>
          <a:off x="30079500" y="56880748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43</xdr:row>
      <xdr:rowOff>53667</xdr:rowOff>
    </xdr:from>
    <xdr:ext cx="1898345" cy="1311584"/>
    <xdr:pic>
      <xdr:nvPicPr>
        <xdr:cNvPr id="857" name="Image 856">
          <a:extLst>
            <a:ext uri="{FF2B5EF4-FFF2-40B4-BE49-F238E27FC236}">
              <a16:creationId xmlns:a16="http://schemas.microsoft.com/office/drawing/2014/main" id="{00000000-0008-0000-0700-00005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204584" y="5413450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41</xdr:row>
      <xdr:rowOff>180670</xdr:rowOff>
    </xdr:from>
    <xdr:ext cx="1758828" cy="1078748"/>
    <xdr:pic>
      <xdr:nvPicPr>
        <xdr:cNvPr id="923" name="Image 922">
          <a:extLst>
            <a:ext uri="{FF2B5EF4-FFF2-40B4-BE49-F238E27FC236}">
              <a16:creationId xmlns:a16="http://schemas.microsoft.com/office/drawing/2014/main" id="{00000000-0008-0000-0700-00009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329334" y="5148867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42</xdr:row>
      <xdr:rowOff>137583</xdr:rowOff>
    </xdr:from>
    <xdr:ext cx="1758828" cy="1078748"/>
    <xdr:pic>
      <xdr:nvPicPr>
        <xdr:cNvPr id="926" name="Image 925">
          <a:extLst>
            <a:ext uri="{FF2B5EF4-FFF2-40B4-BE49-F238E27FC236}">
              <a16:creationId xmlns:a16="http://schemas.microsoft.com/office/drawing/2014/main" id="{00000000-0008-0000-0700-00009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225999" y="52832000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44</xdr:row>
      <xdr:rowOff>42333</xdr:rowOff>
    </xdr:from>
    <xdr:ext cx="1898345" cy="1311584"/>
    <xdr:pic>
      <xdr:nvPicPr>
        <xdr:cNvPr id="927" name="Image 926">
          <a:extLst>
            <a:ext uri="{FF2B5EF4-FFF2-40B4-BE49-F238E27FC236}">
              <a16:creationId xmlns:a16="http://schemas.microsoft.com/office/drawing/2014/main" id="{00000000-0008-0000-0700-00009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162500" y="55509583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317500</xdr:colOff>
      <xdr:row>46</xdr:row>
      <xdr:rowOff>31750</xdr:rowOff>
    </xdr:from>
    <xdr:ext cx="1959628" cy="1306418"/>
    <xdr:pic>
      <xdr:nvPicPr>
        <xdr:cNvPr id="928" name="Image 927">
          <a:extLst>
            <a:ext uri="{FF2B5EF4-FFF2-40B4-BE49-F238E27FC236}">
              <a16:creationId xmlns:a16="http://schemas.microsoft.com/office/drawing/2014/main" id="{00000000-0008-0000-0700-0000A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3654" t="9029" r="21175" b="7067"/>
        <a:stretch/>
      </xdr:blipFill>
      <xdr:spPr>
        <a:xfrm>
          <a:off x="30046083" y="58271833"/>
          <a:ext cx="1959628" cy="1306418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35</xdr:row>
      <xdr:rowOff>53667</xdr:rowOff>
    </xdr:from>
    <xdr:ext cx="1898345" cy="1311584"/>
    <xdr:pic>
      <xdr:nvPicPr>
        <xdr:cNvPr id="971" name="Image 970">
          <a:extLst>
            <a:ext uri="{FF2B5EF4-FFF2-40B4-BE49-F238E27FC236}">
              <a16:creationId xmlns:a16="http://schemas.microsoft.com/office/drawing/2014/main" id="{00000000-0008-0000-0700-0000C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204584" y="43043167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33</xdr:row>
      <xdr:rowOff>180670</xdr:rowOff>
    </xdr:from>
    <xdr:ext cx="1758828" cy="1078748"/>
    <xdr:pic>
      <xdr:nvPicPr>
        <xdr:cNvPr id="972" name="Image 971">
          <a:extLst>
            <a:ext uri="{FF2B5EF4-FFF2-40B4-BE49-F238E27FC236}">
              <a16:creationId xmlns:a16="http://schemas.microsoft.com/office/drawing/2014/main" id="{00000000-0008-0000-0700-0000C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329334" y="40397337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34</xdr:row>
      <xdr:rowOff>137583</xdr:rowOff>
    </xdr:from>
    <xdr:ext cx="1758828" cy="1078748"/>
    <xdr:pic>
      <xdr:nvPicPr>
        <xdr:cNvPr id="979" name="Image 978">
          <a:extLst>
            <a:ext uri="{FF2B5EF4-FFF2-40B4-BE49-F238E27FC236}">
              <a16:creationId xmlns:a16="http://schemas.microsoft.com/office/drawing/2014/main" id="{00000000-0008-0000-0700-0000D3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225999" y="41740666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36</xdr:row>
      <xdr:rowOff>42333</xdr:rowOff>
    </xdr:from>
    <xdr:ext cx="1898345" cy="1311584"/>
    <xdr:pic>
      <xdr:nvPicPr>
        <xdr:cNvPr id="980" name="Image 979">
          <a:extLst>
            <a:ext uri="{FF2B5EF4-FFF2-40B4-BE49-F238E27FC236}">
              <a16:creationId xmlns:a16="http://schemas.microsoft.com/office/drawing/2014/main" id="{00000000-0008-0000-0700-0000D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162500" y="44418250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476001</xdr:colOff>
      <xdr:row>27</xdr:row>
      <xdr:rowOff>53667</xdr:rowOff>
    </xdr:from>
    <xdr:ext cx="1898345" cy="1311584"/>
    <xdr:pic>
      <xdr:nvPicPr>
        <xdr:cNvPr id="981" name="Image 980">
          <a:extLst>
            <a:ext uri="{FF2B5EF4-FFF2-40B4-BE49-F238E27FC236}">
              <a16:creationId xmlns:a16="http://schemas.microsoft.com/office/drawing/2014/main" id="{00000000-0008-0000-0700-0000D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204584" y="34724667"/>
          <a:ext cx="1898345" cy="1311584"/>
        </a:xfrm>
        <a:prstGeom prst="rect">
          <a:avLst/>
        </a:prstGeom>
      </xdr:spPr>
    </xdr:pic>
    <xdr:clientData/>
  </xdr:oneCellAnchor>
  <xdr:oneCellAnchor>
    <xdr:from>
      <xdr:col>12</xdr:col>
      <xdr:colOff>600751</xdr:colOff>
      <xdr:row>25</xdr:row>
      <xdr:rowOff>180670</xdr:rowOff>
    </xdr:from>
    <xdr:ext cx="1758828" cy="1078748"/>
    <xdr:pic>
      <xdr:nvPicPr>
        <xdr:cNvPr id="982" name="Image 981">
          <a:extLst>
            <a:ext uri="{FF2B5EF4-FFF2-40B4-BE49-F238E27FC236}">
              <a16:creationId xmlns:a16="http://schemas.microsoft.com/office/drawing/2014/main" id="{00000000-0008-0000-0700-0000D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329334" y="32078837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497416</xdr:colOff>
      <xdr:row>26</xdr:row>
      <xdr:rowOff>137583</xdr:rowOff>
    </xdr:from>
    <xdr:ext cx="1758828" cy="1078748"/>
    <xdr:pic>
      <xdr:nvPicPr>
        <xdr:cNvPr id="985" name="Image 984">
          <a:extLst>
            <a:ext uri="{FF2B5EF4-FFF2-40B4-BE49-F238E27FC236}">
              <a16:creationId xmlns:a16="http://schemas.microsoft.com/office/drawing/2014/main" id="{00000000-0008-0000-0700-0000D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225999" y="33422166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28</xdr:row>
      <xdr:rowOff>42333</xdr:rowOff>
    </xdr:from>
    <xdr:ext cx="1898345" cy="1311584"/>
    <xdr:pic>
      <xdr:nvPicPr>
        <xdr:cNvPr id="986" name="Image 985">
          <a:extLst>
            <a:ext uri="{FF2B5EF4-FFF2-40B4-BE49-F238E27FC236}">
              <a16:creationId xmlns:a16="http://schemas.microsoft.com/office/drawing/2014/main" id="{00000000-0008-0000-0700-0000D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414" t="7751" r="20424" b="17317"/>
        <a:stretch/>
      </xdr:blipFill>
      <xdr:spPr>
        <a:xfrm>
          <a:off x="30162500" y="36099750"/>
          <a:ext cx="1898345" cy="1311584"/>
        </a:xfrm>
        <a:prstGeom prst="rect">
          <a:avLst/>
        </a:prstGeom>
      </xdr:spPr>
    </xdr:pic>
    <xdr:clientData/>
  </xdr:oneCellAnchor>
  <xdr:oneCellAnchor>
    <xdr:from>
      <xdr:col>6</xdr:col>
      <xdr:colOff>161926</xdr:colOff>
      <xdr:row>17</xdr:row>
      <xdr:rowOff>266700</xdr:rowOff>
    </xdr:from>
    <xdr:ext cx="2381250" cy="878890"/>
    <xdr:pic>
      <xdr:nvPicPr>
        <xdr:cNvPr id="987" name="Image 986">
          <a:extLst>
            <a:ext uri="{FF2B5EF4-FFF2-40B4-BE49-F238E27FC236}">
              <a16:creationId xmlns:a16="http://schemas.microsoft.com/office/drawing/2014/main" id="{00000000-0008-0000-07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1009" y="15527867"/>
          <a:ext cx="2381250" cy="878890"/>
        </a:xfrm>
        <a:prstGeom prst="rect">
          <a:avLst/>
        </a:prstGeom>
      </xdr:spPr>
    </xdr:pic>
    <xdr:clientData/>
  </xdr:oneCellAnchor>
  <xdr:oneCellAnchor>
    <xdr:from>
      <xdr:col>6</xdr:col>
      <xdr:colOff>171450</xdr:colOff>
      <xdr:row>18</xdr:row>
      <xdr:rowOff>276225</xdr:rowOff>
    </xdr:from>
    <xdr:ext cx="2381250" cy="878890"/>
    <xdr:pic>
      <xdr:nvPicPr>
        <xdr:cNvPr id="988" name="Image 987">
          <a:extLst>
            <a:ext uri="{FF2B5EF4-FFF2-40B4-BE49-F238E27FC236}">
              <a16:creationId xmlns:a16="http://schemas.microsoft.com/office/drawing/2014/main" id="{00000000-0008-0000-07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0533" y="16923808"/>
          <a:ext cx="2381250" cy="878890"/>
        </a:xfrm>
        <a:prstGeom prst="rect">
          <a:avLst/>
        </a:prstGeom>
      </xdr:spPr>
    </xdr:pic>
    <xdr:clientData/>
  </xdr:oneCellAnchor>
  <xdr:oneCellAnchor>
    <xdr:from>
      <xdr:col>12</xdr:col>
      <xdr:colOff>463168</xdr:colOff>
      <xdr:row>20</xdr:row>
      <xdr:rowOff>159502</xdr:rowOff>
    </xdr:from>
    <xdr:ext cx="1758828" cy="1078748"/>
    <xdr:pic>
      <xdr:nvPicPr>
        <xdr:cNvPr id="989" name="Image 988">
          <a:extLst>
            <a:ext uri="{FF2B5EF4-FFF2-40B4-BE49-F238E27FC236}">
              <a16:creationId xmlns:a16="http://schemas.microsoft.com/office/drawing/2014/main" id="{00000000-0008-0000-0700-0000D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191751" y="22352752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566584</xdr:colOff>
      <xdr:row>17</xdr:row>
      <xdr:rowOff>276750</xdr:rowOff>
    </xdr:from>
    <xdr:ext cx="1518333" cy="980590"/>
    <xdr:pic>
      <xdr:nvPicPr>
        <xdr:cNvPr id="990" name="Image 989">
          <a:extLst>
            <a:ext uri="{FF2B5EF4-FFF2-40B4-BE49-F238E27FC236}">
              <a16:creationId xmlns:a16="http://schemas.microsoft.com/office/drawing/2014/main" id="{00000000-0008-0000-07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295167" y="15537917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433917</xdr:colOff>
      <xdr:row>19</xdr:row>
      <xdr:rowOff>190500</xdr:rowOff>
    </xdr:from>
    <xdr:ext cx="1758828" cy="1078748"/>
    <xdr:pic>
      <xdr:nvPicPr>
        <xdr:cNvPr id="1026" name="Image 1025">
          <a:extLst>
            <a:ext uri="{FF2B5EF4-FFF2-40B4-BE49-F238E27FC236}">
              <a16:creationId xmlns:a16="http://schemas.microsoft.com/office/drawing/2014/main" id="{00000000-0008-0000-0700-00000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954" t="9734" r="21670" b="35339"/>
        <a:stretch/>
      </xdr:blipFill>
      <xdr:spPr>
        <a:xfrm>
          <a:off x="30162500" y="20997333"/>
          <a:ext cx="1758828" cy="1078748"/>
        </a:xfrm>
        <a:prstGeom prst="rect">
          <a:avLst/>
        </a:prstGeom>
      </xdr:spPr>
    </xdr:pic>
    <xdr:clientData/>
  </xdr:oneCellAnchor>
  <xdr:oneCellAnchor>
    <xdr:from>
      <xdr:col>12</xdr:col>
      <xdr:colOff>582084</xdr:colOff>
      <xdr:row>18</xdr:row>
      <xdr:rowOff>201083</xdr:rowOff>
    </xdr:from>
    <xdr:ext cx="1518333" cy="980590"/>
    <xdr:pic>
      <xdr:nvPicPr>
        <xdr:cNvPr id="1028" name="Image 1027">
          <a:extLst>
            <a:ext uri="{FF2B5EF4-FFF2-40B4-BE49-F238E27FC236}">
              <a16:creationId xmlns:a16="http://schemas.microsoft.com/office/drawing/2014/main" id="{00000000-0008-0000-07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10667" y="19621500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361949</xdr:colOff>
      <xdr:row>23</xdr:row>
      <xdr:rowOff>428625</xdr:rowOff>
    </xdr:from>
    <xdr:ext cx="2143126" cy="777031"/>
    <xdr:pic>
      <xdr:nvPicPr>
        <xdr:cNvPr id="1029" name="Image 1028">
          <a:extLst>
            <a:ext uri="{FF2B5EF4-FFF2-40B4-BE49-F238E27FC236}">
              <a16:creationId xmlns:a16="http://schemas.microsoft.com/office/drawing/2014/main" id="{00000000-0008-0000-07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32" y="24008292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304800</xdr:colOff>
      <xdr:row>24</xdr:row>
      <xdr:rowOff>285750</xdr:rowOff>
    </xdr:from>
    <xdr:ext cx="2143126" cy="777031"/>
    <xdr:pic>
      <xdr:nvPicPr>
        <xdr:cNvPr id="1030" name="Image 1029">
          <a:extLst>
            <a:ext uri="{FF2B5EF4-FFF2-40B4-BE49-F238E27FC236}">
              <a16:creationId xmlns:a16="http://schemas.microsoft.com/office/drawing/2014/main" id="{00000000-0008-0000-07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3883" y="25251833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23</xdr:row>
      <xdr:rowOff>276749</xdr:rowOff>
    </xdr:from>
    <xdr:ext cx="1518333" cy="980590"/>
    <xdr:pic>
      <xdr:nvPicPr>
        <xdr:cNvPr id="1031" name="Image 1030">
          <a:extLst>
            <a:ext uri="{FF2B5EF4-FFF2-40B4-BE49-F238E27FC236}">
              <a16:creationId xmlns:a16="http://schemas.microsoft.com/office/drawing/2014/main" id="{00000000-0008-0000-0700-00000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58668" y="23856416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24</xdr:row>
      <xdr:rowOff>201084</xdr:rowOff>
    </xdr:from>
    <xdr:ext cx="1518333" cy="980590"/>
    <xdr:pic>
      <xdr:nvPicPr>
        <xdr:cNvPr id="1032" name="Image 1031">
          <a:extLst>
            <a:ext uri="{FF2B5EF4-FFF2-40B4-BE49-F238E27FC236}">
              <a16:creationId xmlns:a16="http://schemas.microsoft.com/office/drawing/2014/main" id="{00000000-0008-0000-0700-00000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42417" y="25167167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32</xdr:row>
      <xdr:rowOff>314325</xdr:rowOff>
    </xdr:from>
    <xdr:ext cx="2143126" cy="777031"/>
    <xdr:pic>
      <xdr:nvPicPr>
        <xdr:cNvPr id="1033" name="Image 1032">
          <a:extLst>
            <a:ext uri="{FF2B5EF4-FFF2-40B4-BE49-F238E27FC236}">
              <a16:creationId xmlns:a16="http://schemas.microsoft.com/office/drawing/2014/main" id="{00000000-0008-0000-07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258" y="36371742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295275</xdr:colOff>
      <xdr:row>31</xdr:row>
      <xdr:rowOff>276225</xdr:rowOff>
    </xdr:from>
    <xdr:ext cx="2143126" cy="777031"/>
    <xdr:pic>
      <xdr:nvPicPr>
        <xdr:cNvPr id="1034" name="Image 1033">
          <a:extLst>
            <a:ext uri="{FF2B5EF4-FFF2-40B4-BE49-F238E27FC236}">
              <a16:creationId xmlns:a16="http://schemas.microsoft.com/office/drawing/2014/main" id="{00000000-0008-0000-07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4358" y="34947225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31</xdr:row>
      <xdr:rowOff>276749</xdr:rowOff>
    </xdr:from>
    <xdr:ext cx="1518333" cy="980590"/>
    <xdr:pic>
      <xdr:nvPicPr>
        <xdr:cNvPr id="1035" name="Image 1034">
          <a:extLst>
            <a:ext uri="{FF2B5EF4-FFF2-40B4-BE49-F238E27FC236}">
              <a16:creationId xmlns:a16="http://schemas.microsoft.com/office/drawing/2014/main" id="{00000000-0008-0000-0700-00000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58668" y="34947749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32</xdr:row>
      <xdr:rowOff>201084</xdr:rowOff>
    </xdr:from>
    <xdr:ext cx="1518333" cy="980590"/>
    <xdr:pic>
      <xdr:nvPicPr>
        <xdr:cNvPr id="1036" name="Image 1035">
          <a:extLst>
            <a:ext uri="{FF2B5EF4-FFF2-40B4-BE49-F238E27FC236}">
              <a16:creationId xmlns:a16="http://schemas.microsoft.com/office/drawing/2014/main" id="{00000000-0008-0000-0700-00000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42417" y="36258501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40</xdr:row>
      <xdr:rowOff>276225</xdr:rowOff>
    </xdr:from>
    <xdr:ext cx="2381250" cy="878890"/>
    <xdr:pic>
      <xdr:nvPicPr>
        <xdr:cNvPr id="1037" name="Image 1036">
          <a:extLst>
            <a:ext uri="{FF2B5EF4-FFF2-40B4-BE49-F238E27FC236}">
              <a16:creationId xmlns:a16="http://schemas.microsoft.com/office/drawing/2014/main" id="{00000000-0008-0000-07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9108" y="47424975"/>
          <a:ext cx="2381250" cy="878890"/>
        </a:xfrm>
        <a:prstGeom prst="rect">
          <a:avLst/>
        </a:prstGeom>
      </xdr:spPr>
    </xdr:pic>
    <xdr:clientData/>
  </xdr:oneCellAnchor>
  <xdr:oneCellAnchor>
    <xdr:from>
      <xdr:col>6</xdr:col>
      <xdr:colOff>209550</xdr:colOff>
      <xdr:row>39</xdr:row>
      <xdr:rowOff>209550</xdr:rowOff>
    </xdr:from>
    <xdr:ext cx="2381250" cy="878890"/>
    <xdr:pic>
      <xdr:nvPicPr>
        <xdr:cNvPr id="1038" name="Image 1037">
          <a:extLst>
            <a:ext uri="{FF2B5EF4-FFF2-40B4-BE49-F238E27FC236}">
              <a16:creationId xmlns:a16="http://schemas.microsoft.com/office/drawing/2014/main" id="{00000000-0008-0000-07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633" y="45971883"/>
          <a:ext cx="2381250" cy="878890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39</xdr:row>
      <xdr:rowOff>276749</xdr:rowOff>
    </xdr:from>
    <xdr:ext cx="1518333" cy="980590"/>
    <xdr:pic>
      <xdr:nvPicPr>
        <xdr:cNvPr id="1039" name="Image 1038">
          <a:extLst>
            <a:ext uri="{FF2B5EF4-FFF2-40B4-BE49-F238E27FC236}">
              <a16:creationId xmlns:a16="http://schemas.microsoft.com/office/drawing/2014/main" id="{00000000-0008-0000-0700-00000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58668" y="46039082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40</xdr:row>
      <xdr:rowOff>201084</xdr:rowOff>
    </xdr:from>
    <xdr:ext cx="1518333" cy="980590"/>
    <xdr:pic>
      <xdr:nvPicPr>
        <xdr:cNvPr id="1040" name="Image 1039">
          <a:extLst>
            <a:ext uri="{FF2B5EF4-FFF2-40B4-BE49-F238E27FC236}">
              <a16:creationId xmlns:a16="http://schemas.microsoft.com/office/drawing/2014/main" id="{00000000-0008-0000-0700-00001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42417" y="47349834"/>
          <a:ext cx="1518333" cy="980590"/>
        </a:xfrm>
        <a:prstGeom prst="rect">
          <a:avLst/>
        </a:prstGeom>
      </xdr:spPr>
    </xdr:pic>
    <xdr:clientData/>
  </xdr:oneCellAnchor>
  <xdr:oneCellAnchor>
    <xdr:from>
      <xdr:col>6</xdr:col>
      <xdr:colOff>276225</xdr:colOff>
      <xdr:row>49</xdr:row>
      <xdr:rowOff>295275</xdr:rowOff>
    </xdr:from>
    <xdr:ext cx="2143126" cy="777031"/>
    <xdr:pic>
      <xdr:nvPicPr>
        <xdr:cNvPr id="1041" name="Image 1040">
          <a:extLst>
            <a:ext uri="{FF2B5EF4-FFF2-40B4-BE49-F238E27FC236}">
              <a16:creationId xmlns:a16="http://schemas.microsoft.com/office/drawing/2014/main" id="{00000000-0008-0000-07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5308" y="59921775"/>
          <a:ext cx="2143126" cy="777031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50</xdr:row>
      <xdr:rowOff>314325</xdr:rowOff>
    </xdr:from>
    <xdr:ext cx="2143126" cy="777031"/>
    <xdr:pic>
      <xdr:nvPicPr>
        <xdr:cNvPr id="1042" name="Image 1041">
          <a:extLst>
            <a:ext uri="{FF2B5EF4-FFF2-40B4-BE49-F238E27FC236}">
              <a16:creationId xmlns:a16="http://schemas.microsoft.com/office/drawing/2014/main" id="{00000000-0008-0000-07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258" y="61327242"/>
          <a:ext cx="2143126" cy="777031"/>
        </a:xfrm>
        <a:prstGeom prst="rect">
          <a:avLst/>
        </a:prstGeom>
      </xdr:spPr>
    </xdr:pic>
    <xdr:clientData/>
  </xdr:oneCellAnchor>
  <xdr:oneCellAnchor>
    <xdr:from>
      <xdr:col>12</xdr:col>
      <xdr:colOff>630085</xdr:colOff>
      <xdr:row>49</xdr:row>
      <xdr:rowOff>276749</xdr:rowOff>
    </xdr:from>
    <xdr:ext cx="1518333" cy="980590"/>
    <xdr:pic>
      <xdr:nvPicPr>
        <xdr:cNvPr id="1043" name="Image 1042">
          <a:extLst>
            <a:ext uri="{FF2B5EF4-FFF2-40B4-BE49-F238E27FC236}">
              <a16:creationId xmlns:a16="http://schemas.microsoft.com/office/drawing/2014/main" id="{00000000-0008-0000-07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58668" y="59903249"/>
          <a:ext cx="1518333" cy="980590"/>
        </a:xfrm>
        <a:prstGeom prst="rect">
          <a:avLst/>
        </a:prstGeom>
      </xdr:spPr>
    </xdr:pic>
    <xdr:clientData/>
  </xdr:oneCellAnchor>
  <xdr:oneCellAnchor>
    <xdr:from>
      <xdr:col>12</xdr:col>
      <xdr:colOff>613834</xdr:colOff>
      <xdr:row>50</xdr:row>
      <xdr:rowOff>201084</xdr:rowOff>
    </xdr:from>
    <xdr:ext cx="1518333" cy="980590"/>
    <xdr:pic>
      <xdr:nvPicPr>
        <xdr:cNvPr id="1044" name="Image 1043">
          <a:extLst>
            <a:ext uri="{FF2B5EF4-FFF2-40B4-BE49-F238E27FC236}">
              <a16:creationId xmlns:a16="http://schemas.microsoft.com/office/drawing/2014/main" id="{00000000-0008-0000-0700-00001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41183" t="6897" r="22383" b="47663"/>
        <a:stretch/>
      </xdr:blipFill>
      <xdr:spPr>
        <a:xfrm>
          <a:off x="30342417" y="61214001"/>
          <a:ext cx="1518333" cy="980590"/>
        </a:xfrm>
        <a:prstGeom prst="rect">
          <a:avLst/>
        </a:prstGeom>
      </xdr:spPr>
    </xdr:pic>
    <xdr:clientData/>
  </xdr:oneCellAnchor>
  <xdr:twoCellAnchor>
    <xdr:from>
      <xdr:col>18</xdr:col>
      <xdr:colOff>835629</xdr:colOff>
      <xdr:row>10</xdr:row>
      <xdr:rowOff>233294</xdr:rowOff>
    </xdr:from>
    <xdr:to>
      <xdr:col>18</xdr:col>
      <xdr:colOff>2462527</xdr:colOff>
      <xdr:row>10</xdr:row>
      <xdr:rowOff>1151912</xdr:rowOff>
    </xdr:to>
    <xdr:pic>
      <xdr:nvPicPr>
        <xdr:cNvPr id="813" name="Image 812">
          <a:extLst>
            <a:ext uri="{FF2B5EF4-FFF2-40B4-BE49-F238E27FC236}">
              <a16:creationId xmlns:a16="http://schemas.microsoft.com/office/drawing/2014/main" id="{00000000-0008-0000-07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9379" y="10520294"/>
          <a:ext cx="1626898" cy="918618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666750</xdr:colOff>
      <xdr:row>11</xdr:row>
      <xdr:rowOff>52920</xdr:rowOff>
    </xdr:from>
    <xdr:to>
      <xdr:col>18</xdr:col>
      <xdr:colOff>2624668</xdr:colOff>
      <xdr:row>11</xdr:row>
      <xdr:rowOff>1344084</xdr:rowOff>
    </xdr:to>
    <xdr:pic>
      <xdr:nvPicPr>
        <xdr:cNvPr id="817" name="Image 816">
          <a:extLst>
            <a:ext uri="{FF2B5EF4-FFF2-40B4-BE49-F238E27FC236}">
              <a16:creationId xmlns:a16="http://schemas.microsoft.com/office/drawing/2014/main" id="{00000000-0008-0000-07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0" y="11726337"/>
          <a:ext cx="1957918" cy="1291164"/>
        </a:xfrm>
        <a:prstGeom prst="rect">
          <a:avLst/>
        </a:prstGeom>
      </xdr:spPr>
    </xdr:pic>
    <xdr:clientData/>
  </xdr:twoCellAnchor>
  <xdr:oneCellAnchor>
    <xdr:from>
      <xdr:col>18</xdr:col>
      <xdr:colOff>1185333</xdr:colOff>
      <xdr:row>11</xdr:row>
      <xdr:rowOff>984249</xdr:rowOff>
    </xdr:from>
    <xdr:ext cx="243978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45159083" y="12657666"/>
          <a:ext cx="2439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L</a:t>
          </a:r>
        </a:p>
      </xdr:txBody>
    </xdr:sp>
    <xdr:clientData/>
  </xdr:oneCellAnchor>
  <xdr:oneCellAnchor>
    <xdr:from>
      <xdr:col>18</xdr:col>
      <xdr:colOff>1291167</xdr:colOff>
      <xdr:row>10</xdr:row>
      <xdr:rowOff>857250</xdr:rowOff>
    </xdr:from>
    <xdr:ext cx="243978" cy="264560"/>
    <xdr:sp macro="" textlink="">
      <xdr:nvSpPr>
        <xdr:cNvPr id="823" name="ZoneTexte 822">
          <a:extLst>
            <a:ext uri="{FF2B5EF4-FFF2-40B4-BE49-F238E27FC236}">
              <a16:creationId xmlns:a16="http://schemas.microsoft.com/office/drawing/2014/main" id="{00000000-0008-0000-0700-000037030000}"/>
            </a:ext>
          </a:extLst>
        </xdr:cNvPr>
        <xdr:cNvSpPr txBox="1"/>
      </xdr:nvSpPr>
      <xdr:spPr>
        <a:xfrm>
          <a:off x="45264917" y="11144250"/>
          <a:ext cx="2439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L</a:t>
          </a:r>
        </a:p>
      </xdr:txBody>
    </xdr:sp>
    <xdr:clientData/>
  </xdr:oneCellAnchor>
  <xdr:oneCellAnchor>
    <xdr:from>
      <xdr:col>18</xdr:col>
      <xdr:colOff>952500</xdr:colOff>
      <xdr:row>10</xdr:row>
      <xdr:rowOff>137584</xdr:rowOff>
    </xdr:from>
    <xdr:ext cx="257571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44926250" y="10424584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P</a:t>
          </a:r>
        </a:p>
      </xdr:txBody>
    </xdr:sp>
    <xdr:clientData/>
  </xdr:oneCellAnchor>
  <xdr:oneCellAnchor>
    <xdr:from>
      <xdr:col>18</xdr:col>
      <xdr:colOff>836084</xdr:colOff>
      <xdr:row>11</xdr:row>
      <xdr:rowOff>0</xdr:rowOff>
    </xdr:from>
    <xdr:ext cx="257571" cy="264560"/>
    <xdr:sp macro="" textlink="">
      <xdr:nvSpPr>
        <xdr:cNvPr id="825" name="ZoneTexte 824">
          <a:extLst>
            <a:ext uri="{FF2B5EF4-FFF2-40B4-BE49-F238E27FC236}">
              <a16:creationId xmlns:a16="http://schemas.microsoft.com/office/drawing/2014/main" id="{00000000-0008-0000-0700-000039030000}"/>
            </a:ext>
          </a:extLst>
        </xdr:cNvPr>
        <xdr:cNvSpPr txBox="1"/>
      </xdr:nvSpPr>
      <xdr:spPr>
        <a:xfrm>
          <a:off x="44809834" y="11673417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P</a:t>
          </a:r>
        </a:p>
      </xdr:txBody>
    </xdr:sp>
    <xdr:clientData/>
  </xdr:oneCellAnchor>
  <xdr:oneCellAnchor>
    <xdr:from>
      <xdr:col>18</xdr:col>
      <xdr:colOff>2317750</xdr:colOff>
      <xdr:row>10</xdr:row>
      <xdr:rowOff>465667</xdr:rowOff>
    </xdr:from>
    <xdr:ext cx="258789" cy="264560"/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46291500" y="10752667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h</a:t>
          </a:r>
        </a:p>
      </xdr:txBody>
    </xdr:sp>
    <xdr:clientData/>
  </xdr:oneCellAnchor>
  <xdr:oneCellAnchor>
    <xdr:from>
      <xdr:col>18</xdr:col>
      <xdr:colOff>2487084</xdr:colOff>
      <xdr:row>11</xdr:row>
      <xdr:rowOff>391583</xdr:rowOff>
    </xdr:from>
    <xdr:ext cx="258789" cy="264560"/>
    <xdr:sp macro="" textlink="">
      <xdr:nvSpPr>
        <xdr:cNvPr id="828" name="ZoneTexte 827">
          <a:extLst>
            <a:ext uri="{FF2B5EF4-FFF2-40B4-BE49-F238E27FC236}">
              <a16:creationId xmlns:a16="http://schemas.microsoft.com/office/drawing/2014/main" id="{00000000-0008-0000-0700-00003C030000}"/>
            </a:ext>
          </a:extLst>
        </xdr:cNvPr>
        <xdr:cNvSpPr txBox="1"/>
      </xdr:nvSpPr>
      <xdr:spPr>
        <a:xfrm>
          <a:off x="46460834" y="12065000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h</a:t>
          </a:r>
        </a:p>
      </xdr:txBody>
    </xdr:sp>
    <xdr:clientData/>
  </xdr:oneCellAnchor>
  <xdr:twoCellAnchor editAs="oneCell">
    <xdr:from>
      <xdr:col>4</xdr:col>
      <xdr:colOff>372250</xdr:colOff>
      <xdr:row>4</xdr:row>
      <xdr:rowOff>69722</xdr:rowOff>
    </xdr:from>
    <xdr:to>
      <xdr:col>4</xdr:col>
      <xdr:colOff>2174875</xdr:colOff>
      <xdr:row>4</xdr:row>
      <xdr:rowOff>1362815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625" y="2054097"/>
          <a:ext cx="1802625" cy="1293093"/>
        </a:xfrm>
        <a:prstGeom prst="rect">
          <a:avLst/>
        </a:prstGeom>
      </xdr:spPr>
    </xdr:pic>
    <xdr:clientData/>
  </xdr:twoCellAnchor>
  <xdr:twoCellAnchor editAs="oneCell">
    <xdr:from>
      <xdr:col>4</xdr:col>
      <xdr:colOff>402375</xdr:colOff>
      <xdr:row>3</xdr:row>
      <xdr:rowOff>36331</xdr:rowOff>
    </xdr:from>
    <xdr:to>
      <xdr:col>4</xdr:col>
      <xdr:colOff>2079625</xdr:colOff>
      <xdr:row>3</xdr:row>
      <xdr:rowOff>1351645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750" y="623706"/>
          <a:ext cx="1677250" cy="1315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335416</xdr:colOff>
      <xdr:row>8</xdr:row>
      <xdr:rowOff>54958</xdr:rowOff>
    </xdr:from>
    <xdr:to>
      <xdr:col>4</xdr:col>
      <xdr:colOff>2466806</xdr:colOff>
      <xdr:row>8</xdr:row>
      <xdr:rowOff>1365250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791" y="7627333"/>
          <a:ext cx="2131390" cy="1310292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7</xdr:row>
      <xdr:rowOff>30333</xdr:rowOff>
    </xdr:from>
    <xdr:to>
      <xdr:col>4</xdr:col>
      <xdr:colOff>2206625</xdr:colOff>
      <xdr:row>7</xdr:row>
      <xdr:rowOff>1345612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875" y="6205708"/>
          <a:ext cx="1889125" cy="1315279"/>
        </a:xfrm>
        <a:prstGeom prst="rect">
          <a:avLst/>
        </a:prstGeom>
      </xdr:spPr>
    </xdr:pic>
    <xdr:clientData/>
  </xdr:twoCellAnchor>
  <xdr:twoCellAnchor editAs="oneCell">
    <xdr:from>
      <xdr:col>4</xdr:col>
      <xdr:colOff>402583</xdr:colOff>
      <xdr:row>10</xdr:row>
      <xdr:rowOff>79791</xdr:rowOff>
    </xdr:from>
    <xdr:to>
      <xdr:col>4</xdr:col>
      <xdr:colOff>2286000</xdr:colOff>
      <xdr:row>10</xdr:row>
      <xdr:rowOff>1367338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58" y="10446166"/>
          <a:ext cx="1883417" cy="1287547"/>
        </a:xfrm>
        <a:prstGeom prst="rect">
          <a:avLst/>
        </a:prstGeom>
      </xdr:spPr>
    </xdr:pic>
    <xdr:clientData/>
  </xdr:twoCellAnchor>
  <xdr:twoCellAnchor editAs="oneCell">
    <xdr:from>
      <xdr:col>4</xdr:col>
      <xdr:colOff>492125</xdr:colOff>
      <xdr:row>9</xdr:row>
      <xdr:rowOff>34000</xdr:rowOff>
    </xdr:from>
    <xdr:to>
      <xdr:col>4</xdr:col>
      <xdr:colOff>2282246</xdr:colOff>
      <xdr:row>9</xdr:row>
      <xdr:rowOff>1381125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9003375"/>
          <a:ext cx="1790121" cy="1347125"/>
        </a:xfrm>
        <a:prstGeom prst="rect">
          <a:avLst/>
        </a:prstGeom>
      </xdr:spPr>
    </xdr:pic>
    <xdr:clientData/>
  </xdr:twoCellAnchor>
  <xdr:twoCellAnchor editAs="oneCell">
    <xdr:from>
      <xdr:col>4</xdr:col>
      <xdr:colOff>374500</xdr:colOff>
      <xdr:row>12</xdr:row>
      <xdr:rowOff>41125</xdr:rowOff>
    </xdr:from>
    <xdr:to>
      <xdr:col>4</xdr:col>
      <xdr:colOff>2389290</xdr:colOff>
      <xdr:row>12</xdr:row>
      <xdr:rowOff>1285875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875" y="13201500"/>
          <a:ext cx="2014790" cy="1244750"/>
        </a:xfrm>
        <a:prstGeom prst="rect">
          <a:avLst/>
        </a:prstGeom>
      </xdr:spPr>
    </xdr:pic>
    <xdr:clientData/>
  </xdr:twoCellAnchor>
  <xdr:twoCellAnchor editAs="oneCell">
    <xdr:from>
      <xdr:col>4</xdr:col>
      <xdr:colOff>460375</xdr:colOff>
      <xdr:row>11</xdr:row>
      <xdr:rowOff>111125</xdr:rowOff>
    </xdr:from>
    <xdr:to>
      <xdr:col>4</xdr:col>
      <xdr:colOff>2301875</xdr:colOff>
      <xdr:row>11</xdr:row>
      <xdr:rowOff>1373088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750" y="11874500"/>
          <a:ext cx="1841500" cy="12619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&#233;cile/AppData/Local/Microsoft/Windows/INetCache/Content.Outlook/322TVFKJ/Tarif%202018-1/COM-FOO2-17-0639-IRFTS-EASY%20ROOF%20TOP-COMMANDE-V1.1.3_02-01-2018-16-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réation champs PV Portrait"/>
      <sheetName val="Création champs PV Paysage"/>
      <sheetName val="nomenclature"/>
      <sheetName val="traduction"/>
      <sheetName val="Listing"/>
      <sheetName val="positionnement modules"/>
      <sheetName val="positionnement modules Paysage"/>
      <sheetName val="Clip Module"/>
      <sheetName val="Clip Module Paysage"/>
      <sheetName val="Bride double"/>
      <sheetName val="Bride double Paysage"/>
      <sheetName val="Nb module suivent"/>
      <sheetName val="Nb module suivent Paysage"/>
      <sheetName val="Nb module suivent 1"/>
      <sheetName val="Nb Tige filete portrait"/>
      <sheetName val="Nb module suivent 1 Paysage"/>
      <sheetName val="Nb Eclisse"/>
      <sheetName val="Nb Eclisse Paysage"/>
      <sheetName val="Nb crochet"/>
      <sheetName val="Nb crochet Paysage"/>
      <sheetName val="Nb tige filete Paysage"/>
      <sheetName val="Nb tige filete Paysage (2)"/>
      <sheetName val="Terre FR"/>
      <sheetName val="Terre FR Paysage"/>
      <sheetName val="Terre UE"/>
      <sheetName val="Terre UE Paysage"/>
    </sheetNames>
    <sheetDataSet>
      <sheetData sheetId="0"/>
      <sheetData sheetId="1"/>
      <sheetData sheetId="2"/>
      <sheetData sheetId="3"/>
      <sheetData sheetId="4">
        <row r="69">
          <cell r="A69" t="str">
            <v>Instructions :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X5">
            <v>1.02</v>
          </cell>
        </row>
        <row r="6">
          <cell r="BX6">
            <v>0.3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export@irfts.com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commercial.france@irfts.com" TargetMode="External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export@irfts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R60"/>
  <sheetViews>
    <sheetView showGridLines="0" zoomScale="85" zoomScaleNormal="85" zoomScaleSheetLayoutView="100" workbookViewId="0">
      <selection activeCell="J7" sqref="J7:K7"/>
    </sheetView>
  </sheetViews>
  <sheetFormatPr baseColWidth="10" defaultColWidth="11.5703125" defaultRowHeight="15"/>
  <cols>
    <col min="1" max="1" width="3.7109375" customWidth="1"/>
    <col min="2" max="2" width="11.42578125" customWidth="1"/>
    <col min="3" max="3" width="12.42578125" customWidth="1"/>
    <col min="4" max="4" width="1.7109375" customWidth="1"/>
    <col min="5" max="5" width="16.140625" customWidth="1"/>
    <col min="6" max="6" width="12.140625" customWidth="1"/>
    <col min="7" max="7" width="24.5703125" customWidth="1"/>
    <col min="8" max="15" width="12" customWidth="1"/>
    <col min="16" max="16" width="11.42578125" customWidth="1"/>
    <col min="17" max="17" width="15.140625" customWidth="1"/>
  </cols>
  <sheetData>
    <row r="1" spans="2:17" ht="15.75" thickBot="1"/>
    <row r="2" spans="2:17" ht="15.75" thickTop="1">
      <c r="B2" s="36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2"/>
    </row>
    <row r="3" spans="2:17" ht="31.5">
      <c r="B3" s="459" t="s">
        <v>784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1"/>
    </row>
    <row r="4" spans="2:17" ht="31.5">
      <c r="B4" s="462" t="s">
        <v>785</v>
      </c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4"/>
    </row>
    <row r="5" spans="2:17" ht="31.5">
      <c r="B5" s="465" t="s">
        <v>786</v>
      </c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7"/>
    </row>
    <row r="6" spans="2:17" ht="19.5" thickBot="1">
      <c r="B6" s="37"/>
      <c r="G6" s="73" t="s">
        <v>395</v>
      </c>
      <c r="Q6" s="74"/>
    </row>
    <row r="7" spans="2:17" ht="19.5" thickBot="1">
      <c r="B7" s="37"/>
      <c r="G7" s="73" t="s">
        <v>396</v>
      </c>
      <c r="J7" s="469" t="s">
        <v>12</v>
      </c>
      <c r="K7" s="470"/>
      <c r="Q7" s="74"/>
    </row>
    <row r="8" spans="2:17" ht="18.75">
      <c r="B8" s="37"/>
      <c r="F8" s="73"/>
      <c r="G8" s="73" t="s">
        <v>397</v>
      </c>
      <c r="Q8" s="74"/>
    </row>
    <row r="9" spans="2:17">
      <c r="B9" s="37"/>
      <c r="Q9" s="74"/>
    </row>
    <row r="10" spans="2:17" ht="28.5">
      <c r="B10" s="75" t="s">
        <v>411</v>
      </c>
      <c r="O10" t="s">
        <v>398</v>
      </c>
      <c r="Q10" s="74"/>
    </row>
    <row r="11" spans="2:17" ht="13.5" customHeight="1">
      <c r="B11" s="75"/>
      <c r="Q11" s="74"/>
    </row>
    <row r="12" spans="2:17" ht="21.75" customHeight="1">
      <c r="B12" s="455" t="str">
        <f>Traduction!A203</f>
        <v>1/ Renseigner les lignes.</v>
      </c>
      <c r="C12" s="456"/>
      <c r="D12" s="456"/>
      <c r="E12" s="456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32"/>
    </row>
    <row r="13" spans="2:17" ht="18" customHeight="1">
      <c r="B13" s="81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328" t="str">
        <f>Traduction!A109</f>
        <v>Répondre aux questions des cases en jaune</v>
      </c>
      <c r="N13" s="82"/>
      <c r="O13" s="82"/>
      <c r="P13" s="82"/>
      <c r="Q13" s="83"/>
    </row>
    <row r="14" spans="2:17" ht="22.5" customHeight="1">
      <c r="B14" s="75"/>
      <c r="Q14" s="74"/>
    </row>
    <row r="15" spans="2:17" ht="22.5" customHeight="1">
      <c r="B15" s="75"/>
      <c r="Q15" s="74"/>
    </row>
    <row r="16" spans="2:17" ht="22.5" customHeight="1">
      <c r="B16" s="75"/>
      <c r="Q16" s="74"/>
    </row>
    <row r="17" spans="2:18" ht="22.5" customHeight="1">
      <c r="B17" s="75"/>
      <c r="Q17" s="74"/>
    </row>
    <row r="18" spans="2:18" ht="22.5" customHeight="1">
      <c r="B18" s="75"/>
      <c r="Q18" s="74"/>
    </row>
    <row r="19" spans="2:18" ht="22.5" customHeight="1">
      <c r="B19" s="75"/>
      <c r="Q19" s="74"/>
    </row>
    <row r="20" spans="2:18" ht="22.5" customHeight="1">
      <c r="B20" s="75"/>
      <c r="Q20" s="74"/>
    </row>
    <row r="21" spans="2:18" ht="22.5" customHeight="1">
      <c r="B21" s="75"/>
      <c r="Q21" s="74"/>
    </row>
    <row r="22" spans="2:18" ht="22.5" customHeight="1">
      <c r="B22" s="75"/>
      <c r="Q22" s="74"/>
    </row>
    <row r="23" spans="2:18" ht="22.5" customHeight="1">
      <c r="B23" s="75"/>
      <c r="Q23" s="74"/>
    </row>
    <row r="24" spans="2:18" ht="22.5" customHeight="1">
      <c r="B24" s="75"/>
      <c r="Q24" s="74"/>
    </row>
    <row r="25" spans="2:18" ht="22.5" customHeight="1">
      <c r="B25" s="75"/>
      <c r="Q25" s="74"/>
    </row>
    <row r="26" spans="2:18" ht="28.5">
      <c r="B26" s="75"/>
      <c r="Q26" s="74"/>
    </row>
    <row r="27" spans="2:18" s="84" customFormat="1" ht="47.25" customHeight="1">
      <c r="B27" s="453" t="str">
        <f>Traduction!A204</f>
        <v>2/ Calcul Eurocodes</v>
      </c>
      <c r="C27" s="454"/>
      <c r="D27" s="454"/>
      <c r="E27" s="454"/>
      <c r="F27" s="329"/>
      <c r="G27" s="329"/>
      <c r="H27" s="329"/>
      <c r="I27" s="329"/>
      <c r="J27" s="329"/>
      <c r="K27" s="329"/>
      <c r="L27" s="333" t="str">
        <f>Traduction!A109</f>
        <v>Répondre aux questions des cases en jaune</v>
      </c>
      <c r="M27" s="329"/>
      <c r="N27" s="329"/>
      <c r="O27" s="329"/>
      <c r="P27" s="329"/>
      <c r="Q27" s="330"/>
      <c r="R27" s="85"/>
    </row>
    <row r="28" spans="2:18" ht="21">
      <c r="B28" s="76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8"/>
      <c r="R28" s="77"/>
    </row>
    <row r="29" spans="2:18" ht="21">
      <c r="B29" s="76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8"/>
      <c r="R29" s="77"/>
    </row>
    <row r="30" spans="2:18" ht="21"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8"/>
      <c r="R30" s="77"/>
    </row>
    <row r="31" spans="2:18" ht="21">
      <c r="B31" s="76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8"/>
      <c r="R31" s="77"/>
    </row>
    <row r="32" spans="2:18" ht="21"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8"/>
      <c r="R32" s="77"/>
    </row>
    <row r="33" spans="2:18" ht="21"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8"/>
      <c r="R33" s="77"/>
    </row>
    <row r="34" spans="2:18" ht="21"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8"/>
      <c r="R34" s="77"/>
    </row>
    <row r="35" spans="2:18" ht="21"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8"/>
      <c r="R35" s="77"/>
    </row>
    <row r="36" spans="2:18" ht="21"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8"/>
      <c r="R36" s="77"/>
    </row>
    <row r="37" spans="2:18" ht="21"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8"/>
      <c r="R37" s="77"/>
    </row>
    <row r="38" spans="2:18" ht="21"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8"/>
      <c r="R38" s="77"/>
    </row>
    <row r="39" spans="2:18" ht="21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8"/>
      <c r="R39" s="77"/>
    </row>
    <row r="40" spans="2:18" ht="21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8"/>
      <c r="R40" s="77"/>
    </row>
    <row r="41" spans="2:18" ht="21"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8"/>
      <c r="R41" s="77"/>
    </row>
    <row r="42" spans="2:18" ht="21">
      <c r="B42" s="76"/>
      <c r="C42" s="77"/>
      <c r="D42" s="77"/>
      <c r="E42" s="77"/>
      <c r="F42" s="77"/>
      <c r="G42" s="77"/>
      <c r="H42" s="77"/>
      <c r="I42" s="77"/>
      <c r="J42" s="77"/>
      <c r="K42" s="77"/>
      <c r="M42" s="77"/>
      <c r="O42" s="77"/>
      <c r="Q42" s="78"/>
      <c r="R42" s="77"/>
    </row>
    <row r="43" spans="2:18" ht="21">
      <c r="B43" s="76"/>
      <c r="C43" s="77"/>
      <c r="D43" s="77"/>
      <c r="E43" s="77"/>
      <c r="F43" s="77"/>
      <c r="G43" s="77"/>
      <c r="H43" s="77"/>
      <c r="I43" s="77"/>
      <c r="J43" s="77"/>
      <c r="K43" s="77"/>
      <c r="M43" s="77"/>
      <c r="O43" s="77"/>
      <c r="P43" s="334"/>
      <c r="Q43" s="379" t="str">
        <f>Traduction!A108</f>
        <v>Vérifier que les charges sur la Pergola sont correctes</v>
      </c>
      <c r="R43" s="77"/>
    </row>
    <row r="44" spans="2:18" ht="21">
      <c r="B44" s="76"/>
      <c r="C44" s="77"/>
      <c r="D44" s="77"/>
      <c r="E44" s="77"/>
      <c r="F44" s="77"/>
      <c r="G44" s="77"/>
      <c r="H44" s="77"/>
      <c r="I44" s="77"/>
      <c r="J44" s="77"/>
      <c r="K44" s="77"/>
      <c r="M44" s="77"/>
      <c r="O44" s="77"/>
      <c r="P44" s="334"/>
      <c r="Q44" s="379"/>
      <c r="R44" s="77"/>
    </row>
    <row r="45" spans="2:18" ht="21">
      <c r="B45" s="76" t="str">
        <f>Traduction!A206</f>
        <v>3/Nomenclature IRFTS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8"/>
      <c r="R45" s="77"/>
    </row>
    <row r="46" spans="2:18" ht="21">
      <c r="B46" s="453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68"/>
      <c r="R46" s="77"/>
    </row>
    <row r="47" spans="2:18" ht="21">
      <c r="B47" s="309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1"/>
      <c r="R47" s="77"/>
    </row>
    <row r="48" spans="2:18" ht="21">
      <c r="B48" s="453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68"/>
      <c r="R48" s="77"/>
    </row>
    <row r="49" spans="2:18" ht="21">
      <c r="B49" s="76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8"/>
      <c r="R49" s="77"/>
    </row>
    <row r="50" spans="2:18" ht="23.25">
      <c r="B50" s="76"/>
      <c r="C50" s="7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77"/>
      <c r="Q50" s="78"/>
      <c r="R50" s="77"/>
    </row>
    <row r="51" spans="2:18" ht="21">
      <c r="B51" s="76"/>
      <c r="C51" s="77"/>
      <c r="H51" s="69"/>
      <c r="I51" s="69"/>
      <c r="J51" s="69"/>
      <c r="K51" s="69"/>
      <c r="L51" s="69"/>
      <c r="M51" s="69"/>
      <c r="N51" s="69"/>
      <c r="O51" s="69"/>
      <c r="P51" s="77"/>
      <c r="Q51" s="78"/>
      <c r="R51" s="77"/>
    </row>
    <row r="52" spans="2:18" ht="21">
      <c r="B52" s="76"/>
      <c r="C52" s="77"/>
      <c r="F52" s="458"/>
      <c r="G52" s="458"/>
      <c r="H52" s="69"/>
      <c r="I52" s="69"/>
      <c r="J52" s="69"/>
      <c r="K52" s="69"/>
      <c r="L52" s="69"/>
      <c r="M52" s="69"/>
      <c r="N52" s="69"/>
      <c r="O52" s="69"/>
      <c r="P52" s="77"/>
      <c r="Q52" s="78"/>
      <c r="R52" s="77"/>
    </row>
    <row r="53" spans="2:18" ht="21">
      <c r="B53" s="76"/>
      <c r="C53" s="77"/>
      <c r="E53" s="334" t="str">
        <f>Traduction!A107</f>
        <v>Liste de pièces IRFTS en gras</v>
      </c>
      <c r="J53" s="69"/>
      <c r="K53" s="69"/>
      <c r="L53" s="69"/>
      <c r="M53" s="69"/>
      <c r="N53" s="69"/>
      <c r="O53" s="69"/>
      <c r="P53" s="77"/>
      <c r="Q53" s="78"/>
      <c r="R53" s="77"/>
    </row>
    <row r="54" spans="2:18" ht="21">
      <c r="B54" s="76"/>
      <c r="C54" s="77"/>
      <c r="F54" s="77"/>
      <c r="G54" s="119"/>
      <c r="H54" s="69" t="str">
        <f>IF(AND(H53&lt;&gt;Info!E71,H53&lt;&gt;Info!E72,H53&lt;&gt;Info!E73,H53&lt;&gt;Info!E74,H53&lt;&gt;Info!E75,H53&lt;&gt;Info!E76,H53&lt;&gt;Info!E77,H53&lt;&gt;Info!E78),"erreur","")</f>
        <v/>
      </c>
      <c r="I54" s="69" t="str">
        <f>IF(AND(I53&lt;&gt;Info!H71,I53&lt;&gt;Info!H72,I53&lt;&gt;Info!H73,I53&lt;&gt;Info!H74,I53&lt;&gt;Info!H75,I53&lt;&gt;Info!H76,I53&lt;&gt;Info!H77,I53&lt;&gt;Info!H78),"erreur","")</f>
        <v/>
      </c>
      <c r="J54" s="69" t="str">
        <f>IF(AND(J53&lt;&gt;Info!J71,J53&lt;&gt;Info!J72,J53&lt;&gt;Info!J73,J53&lt;&gt;Info!J74,J53&lt;&gt;Info!J75,J53&lt;&gt;Info!J76,J53&lt;&gt;Info!J77,J53&lt;&gt;Info!J78),"erreur","")</f>
        <v/>
      </c>
      <c r="K54" s="69" t="str">
        <f>IF(AND(K53&lt;&gt;Info!K71,K53&lt;&gt;Info!K72,K53&lt;&gt;Info!K73,K53&lt;&gt;Info!K74,K53&lt;&gt;Info!K75,K53&lt;&gt;Info!K76,K53&lt;&gt;Info!K77,K53&lt;&gt;Info!K78),"erreur","")</f>
        <v/>
      </c>
      <c r="L54" s="69" t="str">
        <f>IF(AND(L53&lt;&gt;Info!L71,L53&lt;&gt;Info!L72,L53&lt;&gt;Info!L73,L53&lt;&gt;Info!L74,L53&lt;&gt;Info!L75,L53&lt;&gt;Info!L76,L53&lt;&gt;Info!L77,L53&lt;&gt;Info!L78),"erreur","")</f>
        <v/>
      </c>
      <c r="M54" s="69" t="str">
        <f>IF(AND(M53&lt;&gt;Info!M71,M53&lt;&gt;Info!M72,M53&lt;&gt;Info!M73,M53&lt;&gt;Info!M74,M53&lt;&gt;Info!M75,M53&lt;&gt;Info!M76,M53&lt;&gt;Info!M77,M53&lt;&gt;Info!M78),"erreur","")</f>
        <v/>
      </c>
      <c r="N54" s="69" t="e">
        <f>IF(AND(N53&lt;&gt;Info!#REF!,N53&lt;&gt;Info!N72,N53&lt;&gt;Info!N73,N53&lt;&gt;Info!N74,N53&lt;&gt;Info!N75,N53&lt;&gt;Info!N76,N53&lt;&gt;Info!N77,N53&lt;&gt;Info!N78),"erreur","")</f>
        <v>#REF!</v>
      </c>
      <c r="O54" s="69" t="e">
        <f>IF(AND(O53&lt;&gt;Info!#REF!,O53&lt;&gt;Info!O72,O53&lt;&gt;Info!O73,O53&lt;&gt;Info!O74,O53&lt;&gt;Info!O75,O53&lt;&gt;Info!O76,O53&lt;&gt;Info!O77,O53&lt;&gt;Info!O78),"erreur","")</f>
        <v>#REF!</v>
      </c>
      <c r="P54" s="77"/>
      <c r="Q54" s="78"/>
      <c r="R54" s="77"/>
    </row>
    <row r="55" spans="2:18" ht="21">
      <c r="B55" s="76"/>
      <c r="C55" s="77"/>
      <c r="D55" s="77"/>
      <c r="E55" s="77"/>
      <c r="F55" s="77"/>
      <c r="H55" s="77"/>
      <c r="I55" s="77"/>
      <c r="J55" s="77"/>
      <c r="K55" s="77"/>
      <c r="L55" s="77"/>
      <c r="M55" s="77"/>
      <c r="N55" s="77"/>
      <c r="O55" s="77"/>
      <c r="P55" s="77"/>
      <c r="Q55" s="78"/>
      <c r="R55" s="77"/>
    </row>
    <row r="56" spans="2:18" ht="21">
      <c r="B56" s="76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8"/>
      <c r="R56" s="77"/>
    </row>
    <row r="57" spans="2:18" ht="21">
      <c r="B57" s="76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8"/>
      <c r="R57" s="77"/>
    </row>
    <row r="58" spans="2:18" ht="23.25">
      <c r="B58" s="76"/>
      <c r="C58" s="77"/>
      <c r="D58" s="77"/>
      <c r="F58" s="457"/>
      <c r="G58" s="457"/>
      <c r="H58" s="457"/>
      <c r="I58" s="457"/>
      <c r="J58" s="457"/>
      <c r="K58" s="457"/>
      <c r="L58" s="457"/>
      <c r="M58" s="457"/>
      <c r="N58" s="457"/>
      <c r="O58" s="457"/>
      <c r="P58" s="77"/>
      <c r="Q58" s="78"/>
      <c r="R58" s="77"/>
    </row>
    <row r="59" spans="2:18" ht="15.75" thickBot="1">
      <c r="B59" s="38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80"/>
    </row>
    <row r="60" spans="2:18" ht="15.75" thickTop="1"/>
  </sheetData>
  <sheetProtection algorithmName="SHA-512" hashValue="Bm6g7jMFUeDRhixT5K8pM3BZpllTMnqnDiwwrtegu41j7BPZUCVFLxwowmyTZrqgitbKFCeyNDe3hNcmC0eVkg==" saltValue="cmA5KmEz4laMpIDjrRBmfQ==" spinCount="100000" sheet="1" objects="1" scenarios="1" selectLockedCells="1"/>
  <customSheetViews>
    <customSheetView guid="{D8D7B009-33DC-454B-9FCD-4FE65C8432CF}" scale="70" showGridLines="0" printArea="1">
      <selection activeCell="L25" sqref="L25"/>
      <pageMargins left="0.39370078740157483" right="0.39370078740157483" top="0.74803149606299213" bottom="0.74803149606299213" header="0.31496062992125984" footer="0.31496062992125984"/>
      <printOptions horizontalCentered="1"/>
      <pageSetup paperSize="9" scale="36" orientation="portrait" r:id="rId1"/>
    </customSheetView>
  </customSheetViews>
  <mergeCells count="11">
    <mergeCell ref="B27:E27"/>
    <mergeCell ref="B12:E12"/>
    <mergeCell ref="F58:O58"/>
    <mergeCell ref="B3:Q3"/>
    <mergeCell ref="B4:Q4"/>
    <mergeCell ref="B5:Q5"/>
    <mergeCell ref="B46:Q46"/>
    <mergeCell ref="B48:Q48"/>
    <mergeCell ref="F50:O50"/>
    <mergeCell ref="F52:G52"/>
    <mergeCell ref="J7:K7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36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00000000-0002-0000-0000-000014000000}">
          <x14:formula1>
            <xm:f>Traduction!$B$8:$E$8</xm:f>
          </x14:formula1>
          <xm:sqref>J7</xm:sqref>
        </x14:dataValidation>
        <x14:dataValidation type="list" allowBlank="1" showInputMessage="1" showErrorMessage="1" xr:uid="{00000000-0002-0000-0000-000015000000}">
          <x14:formula1>
            <xm:f>Info!$E$26:$E$33</xm:f>
          </x14:formula1>
          <xm:sqref>H53</xm:sqref>
        </x14:dataValidation>
        <x14:dataValidation type="list" allowBlank="1" showInputMessage="1" showErrorMessage="1" xr:uid="{00000000-0002-0000-0000-000016000000}">
          <x14:formula1>
            <xm:f>Info!$J$26:$J$33</xm:f>
          </x14:formula1>
          <xm:sqref>M53</xm:sqref>
        </x14:dataValidation>
        <x14:dataValidation type="list" allowBlank="1" showInputMessage="1" showErrorMessage="1" xr:uid="{00000000-0002-0000-0000-000017000000}">
          <x14:formula1>
            <xm:f>Info!$F$26:$F$33</xm:f>
          </x14:formula1>
          <xm:sqref>I53</xm:sqref>
        </x14:dataValidation>
        <x14:dataValidation type="list" allowBlank="1" showInputMessage="1" showErrorMessage="1" xr:uid="{00000000-0002-0000-0000-000018000000}">
          <x14:formula1>
            <xm:f>Info!$F$13:$F$24</xm:f>
          </x14:formula1>
          <xm:sqref>I52</xm:sqref>
        </x14:dataValidation>
        <x14:dataValidation type="list" allowBlank="1" showInputMessage="1" showErrorMessage="1" xr:uid="{00000000-0002-0000-0000-000019000000}">
          <x14:formula1>
            <xm:f>Info!$E$13:$E$24</xm:f>
          </x14:formula1>
          <xm:sqref>H52</xm:sqref>
        </x14:dataValidation>
        <x14:dataValidation type="list" allowBlank="1" showInputMessage="1" showErrorMessage="1" xr:uid="{00000000-0002-0000-0000-00001A000000}">
          <x14:formula1>
            <xm:f>Info!$H$13:$H$24</xm:f>
          </x14:formula1>
          <xm:sqref>K52</xm:sqref>
        </x14:dataValidation>
        <x14:dataValidation type="list" allowBlank="1" showInputMessage="1" showErrorMessage="1" xr:uid="{00000000-0002-0000-0000-00001B000000}">
          <x14:formula1>
            <xm:f>Info!$G$13:$G$24</xm:f>
          </x14:formula1>
          <xm:sqref>J52</xm:sqref>
        </x14:dataValidation>
        <x14:dataValidation type="list" allowBlank="1" showInputMessage="1" showErrorMessage="1" xr:uid="{00000000-0002-0000-0000-00001C000000}">
          <x14:formula1>
            <xm:f>Info!$T$2:$T$3</xm:f>
          </x14:formula1>
          <xm:sqref>G18</xm:sqref>
        </x14:dataValidation>
        <x14:dataValidation type="list" allowBlank="1" showInputMessage="1" showErrorMessage="1" xr:uid="{00000000-0002-0000-0000-00001D000000}">
          <x14:formula1>
            <xm:f>Info!$L$2:$L$3</xm:f>
          </x14:formula1>
          <xm:sqref>G23:G25</xm:sqref>
        </x14:dataValidation>
        <x14:dataValidation type="list" allowBlank="1" showInputMessage="1" showErrorMessage="1" xr:uid="{00000000-0002-0000-0000-00001E000000}">
          <x14:formula1>
            <xm:f>IF($F$23="No",Info!$O$2:$O$7,Info!$L$2)</xm:f>
          </x14:formula1>
          <xm:sqref>G22</xm:sqref>
        </x14:dataValidation>
        <x14:dataValidation type="list" allowBlank="1" showInputMessage="1" showErrorMessage="1" xr:uid="{00000000-0002-0000-0000-00001F000000}">
          <x14:formula1>
            <xm:f>Info!$N$2:$N$4</xm:f>
          </x14:formula1>
          <xm:sqref>G21</xm:sqref>
        </x14:dataValidation>
        <x14:dataValidation type="list" allowBlank="1" showInputMessage="1" showErrorMessage="1" xr:uid="{00000000-0002-0000-0000-000020000000}">
          <x14:formula1>
            <xm:f>Info!$J$2:$J$4</xm:f>
          </x14:formula1>
          <xm:sqref>G17</xm:sqref>
        </x14:dataValidation>
        <x14:dataValidation type="list" allowBlank="1" showInputMessage="1" showErrorMessage="1" xr:uid="{00000000-0002-0000-0000-000021000000}">
          <x14:formula1>
            <xm:f>Info!$I$26:$I$33</xm:f>
          </x14:formula1>
          <xm:sqref>L53</xm:sqref>
        </x14:dataValidation>
        <x14:dataValidation type="list" allowBlank="1" showInputMessage="1" showErrorMessage="1" xr:uid="{00000000-0002-0000-0000-000022000000}">
          <x14:formula1>
            <xm:f>Info!$H$26:$H$33</xm:f>
          </x14:formula1>
          <xm:sqref>K53</xm:sqref>
        </x14:dataValidation>
        <x14:dataValidation type="list" allowBlank="1" showInputMessage="1" showErrorMessage="1" xr:uid="{00000000-0002-0000-0000-000023000000}">
          <x14:formula1>
            <xm:f>Info!$G$26:$G$33</xm:f>
          </x14:formula1>
          <xm:sqref>J53</xm:sqref>
        </x14:dataValidation>
        <x14:dataValidation type="list" allowBlank="1" showInputMessage="1" showErrorMessage="1" xr:uid="{00000000-0002-0000-0000-000024000000}">
          <x14:formula1>
            <xm:f>Info!$N$13:$N$24</xm:f>
          </x14:formula1>
          <xm:sqref>O52</xm:sqref>
        </x14:dataValidation>
        <x14:dataValidation type="list" allowBlank="1" showInputMessage="1" showErrorMessage="1" xr:uid="{00000000-0002-0000-0000-000025000000}">
          <x14:formula1>
            <xm:f>Info!$M$13:$M$24</xm:f>
          </x14:formula1>
          <xm:sqref>N52</xm:sqref>
        </x14:dataValidation>
        <x14:dataValidation type="list" allowBlank="1" showInputMessage="1" showErrorMessage="1" xr:uid="{00000000-0002-0000-0000-000026000000}">
          <x14:formula1>
            <xm:f>Info!$L$13:$L$24</xm:f>
          </x14:formula1>
          <xm:sqref>M52</xm:sqref>
        </x14:dataValidation>
        <x14:dataValidation type="list" allowBlank="1" showInputMessage="1" showErrorMessage="1" xr:uid="{00000000-0002-0000-0000-000027000000}">
          <x14:formula1>
            <xm:f>Info!$K$13:$K$25</xm:f>
          </x14:formula1>
          <xm:sqref>L52</xm:sqref>
        </x14:dataValidation>
        <x14:dataValidation type="list" allowBlank="1" showInputMessage="1" showErrorMessage="1" xr:uid="{00000000-0002-0000-0000-000028000000}">
          <x14:formula1>
            <xm:f>Info!$L$26:$L$33</xm:f>
          </x14:formula1>
          <xm:sqref>O53</xm:sqref>
        </x14:dataValidation>
        <x14:dataValidation type="list" allowBlank="1" showInputMessage="1" showErrorMessage="1" xr:uid="{00000000-0002-0000-0000-000029000000}">
          <x14:formula1>
            <xm:f>Info!$K$26:$K$33</xm:f>
          </x14:formula1>
          <xm:sqref>N53</xm:sqref>
        </x14:dataValidation>
        <x14:dataValidation type="list" allowBlank="1" showInputMessage="1" showErrorMessage="1" xr:uid="{00000000-0002-0000-0000-00002A000000}">
          <x14:formula1>
            <xm:f>Info!$C$2:$C$8</xm:f>
          </x14:formula1>
          <xm:sqref>G16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X100"/>
  <sheetViews>
    <sheetView showGridLines="0" showZeros="0" tabSelected="1" zoomScale="60" zoomScaleNormal="60" zoomScaleSheetLayoutView="70" workbookViewId="0">
      <selection activeCell="K4" sqref="K4"/>
    </sheetView>
  </sheetViews>
  <sheetFormatPr baseColWidth="10" defaultColWidth="11.42578125" defaultRowHeight="15"/>
  <cols>
    <col min="1" max="1" width="21.42578125" style="2" customWidth="1"/>
    <col min="2" max="2" width="31.5703125" style="2" customWidth="1"/>
    <col min="3" max="3" width="36.7109375" style="2" customWidth="1"/>
    <col min="4" max="4" width="17.140625" style="2" customWidth="1"/>
    <col min="5" max="5" width="13" style="2" customWidth="1"/>
    <col min="6" max="6" width="86.42578125" style="2" customWidth="1"/>
    <col min="7" max="7" width="24.42578125" style="2" bestFit="1" customWidth="1"/>
    <col min="8" max="8" width="18.7109375" style="2" customWidth="1"/>
    <col min="9" max="9" width="17.7109375" style="2" customWidth="1"/>
    <col min="10" max="10" width="20" style="2" customWidth="1"/>
    <col min="11" max="12" width="17.7109375" style="2" customWidth="1"/>
    <col min="13" max="13" width="20.140625" style="2" customWidth="1"/>
    <col min="14" max="14" width="32.28515625" style="2" customWidth="1"/>
    <col min="15" max="15" width="24" style="2" customWidth="1"/>
    <col min="16" max="17" width="11.42578125" style="2"/>
    <col min="18" max="18" width="17" style="2" bestFit="1" customWidth="1"/>
    <col min="19" max="22" width="11.42578125" style="2"/>
    <col min="23" max="28" width="15.7109375" style="2" customWidth="1"/>
    <col min="29" max="35" width="11.42578125" style="2"/>
    <col min="36" max="36" width="11.42578125" style="2" customWidth="1"/>
    <col min="37" max="16384" width="11.42578125" style="2"/>
  </cols>
  <sheetData>
    <row r="1" spans="1:24" ht="58.5" customHeight="1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20"/>
      <c r="P1" s="421"/>
      <c r="Q1"/>
      <c r="R1"/>
    </row>
    <row r="2" spans="1:24" ht="6.75" customHeight="1">
      <c r="A2" s="421"/>
      <c r="B2"/>
      <c r="C2"/>
      <c r="D2"/>
      <c r="E2"/>
      <c r="F2"/>
      <c r="G2"/>
      <c r="H2"/>
      <c r="I2"/>
      <c r="J2"/>
      <c r="K2"/>
      <c r="L2"/>
      <c r="M2"/>
      <c r="N2"/>
      <c r="O2" s="422"/>
      <c r="P2" s="421"/>
      <c r="Q2"/>
      <c r="R2"/>
    </row>
    <row r="3" spans="1:24" ht="23.25" customHeight="1" thickBot="1">
      <c r="A3" s="423"/>
      <c r="B3" s="31"/>
      <c r="C3" s="31"/>
      <c r="D3" s="31"/>
      <c r="E3" s="31"/>
      <c r="F3" s="487" t="s">
        <v>1202</v>
      </c>
      <c r="G3" s="487"/>
      <c r="H3" s="487"/>
      <c r="I3" s="405" t="s">
        <v>790</v>
      </c>
      <c r="O3" s="424"/>
    </row>
    <row r="4" spans="1:24" ht="34.5" customHeight="1">
      <c r="A4" s="488" t="s">
        <v>673</v>
      </c>
      <c r="B4" s="489"/>
      <c r="F4" s="395" t="str">
        <f>Traduction!A9</f>
        <v>Définition tarifaire des SHADOW SOLAR EVOLUTION</v>
      </c>
      <c r="G4" s="231"/>
      <c r="H4" s="3"/>
      <c r="I4" s="490" t="str">
        <f>Traduction!A18</f>
        <v>Définir la puissance du module</v>
      </c>
      <c r="J4" s="491"/>
      <c r="K4" s="367">
        <v>300</v>
      </c>
      <c r="O4" s="424"/>
    </row>
    <row r="5" spans="1:24" ht="24" customHeight="1">
      <c r="A5" s="230"/>
      <c r="F5" s="3"/>
      <c r="G5" s="3"/>
      <c r="H5" s="3"/>
      <c r="I5" s="492" t="str">
        <f>Traduction!A19</f>
        <v>Nombre de modules</v>
      </c>
      <c r="J5" s="493"/>
      <c r="K5" s="368">
        <f>Info!M25</f>
        <v>4</v>
      </c>
      <c r="O5" s="424"/>
    </row>
    <row r="6" spans="1:24" ht="34.5" customHeight="1" thickBot="1">
      <c r="A6" s="232"/>
      <c r="F6" s="354" t="str">
        <f>Traduction!A11</f>
        <v>Les indications tarifaires ci-dessous n'incluent ni les modules, ni les fixations au sol et au mur</v>
      </c>
      <c r="G6" s="233"/>
      <c r="H6" s="62"/>
      <c r="I6" s="494" t="str">
        <f>Traduction!A20</f>
        <v>Puissance par pergola</v>
      </c>
      <c r="J6" s="495"/>
      <c r="K6" s="369">
        <f>K5*K4</f>
        <v>1200</v>
      </c>
      <c r="O6" s="424"/>
    </row>
    <row r="7" spans="1:24" ht="17.100000000000001" customHeight="1" thickBot="1">
      <c r="A7" s="230"/>
      <c r="G7" s="425"/>
      <c r="H7" s="426"/>
      <c r="O7" s="424"/>
    </row>
    <row r="8" spans="1:24" ht="35.1" customHeight="1" thickTop="1" thickBot="1">
      <c r="A8" s="230"/>
      <c r="F8" s="90" t="str">
        <f>Traduction!A13</f>
        <v>Définir la quantité de commande</v>
      </c>
      <c r="G8" s="284">
        <v>1</v>
      </c>
      <c r="H8" s="427"/>
      <c r="M8" s="428"/>
      <c r="N8" s="236" t="str">
        <f>IF(G12=7016,"Couleur RAL7016 MAT","Couleur RAL9010 BRILLANT")</f>
        <v>Couleur RAL9010 BRILLANT</v>
      </c>
      <c r="O8" s="424"/>
      <c r="T8" s="356"/>
      <c r="U8" s="356"/>
      <c r="V8" s="356"/>
      <c r="W8" s="356"/>
      <c r="X8" s="356"/>
    </row>
    <row r="9" spans="1:24" ht="35.1" customHeight="1" thickBot="1">
      <c r="A9" s="230"/>
      <c r="G9" s="285"/>
      <c r="I9" s="234" t="s">
        <v>880</v>
      </c>
      <c r="J9" s="235" t="str">
        <f>G10</f>
        <v>2x2 2 Pieds</v>
      </c>
      <c r="K9" s="429"/>
      <c r="L9" s="429"/>
      <c r="M9" s="483" t="str">
        <f>Traduction!A250</f>
        <v>Dimensions Shadow Solar Evolution*</v>
      </c>
      <c r="N9" s="483"/>
      <c r="O9" s="484"/>
      <c r="T9" s="471"/>
      <c r="U9" s="471"/>
      <c r="V9" s="471"/>
      <c r="W9" s="471"/>
      <c r="X9" s="471"/>
    </row>
    <row r="10" spans="1:24" ht="35.1" customHeight="1">
      <c r="A10" s="230"/>
      <c r="F10" s="91" t="str">
        <f>Traduction!A14</f>
        <v>Selectionner votre format de toiture</v>
      </c>
      <c r="G10" s="286" t="s">
        <v>680</v>
      </c>
      <c r="H10" s="2">
        <f ca="1">INDIRECT(VLOOKUP($G$10,Catalogue!$C$4:$E$13,2,FALSE))</f>
        <v>0</v>
      </c>
      <c r="I10" s="388">
        <f>Info!M25</f>
        <v>4</v>
      </c>
      <c r="J10" s="442" t="str">
        <f>Traduction!A252</f>
        <v>Modules PV</v>
      </c>
      <c r="K10" s="429"/>
      <c r="L10" s="429"/>
      <c r="M10" s="374">
        <f>Catalogue!J14</f>
        <v>2655</v>
      </c>
      <c r="N10" s="472">
        <f>Catalogue!K14</f>
        <v>2728</v>
      </c>
      <c r="O10" s="473"/>
      <c r="T10" s="471"/>
      <c r="U10" s="471"/>
      <c r="V10" s="471"/>
      <c r="W10" s="471"/>
      <c r="X10" s="471"/>
    </row>
    <row r="11" spans="1:24" ht="35.1" customHeight="1">
      <c r="A11" s="230"/>
      <c r="F11" s="92" t="str">
        <f>Traduction!A151</f>
        <v>Longueur de pieds (mm)</v>
      </c>
      <c r="G11" s="287">
        <v>2400</v>
      </c>
      <c r="H11" s="404">
        <f>IF(G11=3500,"Att lg 3500 mm",0)</f>
        <v>0</v>
      </c>
      <c r="M11" s="371"/>
      <c r="N11" s="371"/>
      <c r="O11" s="372"/>
    </row>
    <row r="12" spans="1:24" ht="35.1" customHeight="1">
      <c r="A12" s="230"/>
      <c r="F12" s="92" t="str">
        <f>Traduction!A111</f>
        <v>Choix couleur Standard RAL</v>
      </c>
      <c r="G12" s="287">
        <v>9010</v>
      </c>
      <c r="H12" s="427"/>
      <c r="J12" s="429"/>
      <c r="M12" s="371"/>
      <c r="N12" s="371"/>
      <c r="O12" s="372"/>
    </row>
    <row r="13" spans="1:24" ht="35.1" customHeight="1">
      <c r="A13" s="230"/>
      <c r="B13" s="237"/>
      <c r="C13" s="237"/>
      <c r="F13" s="92" t="str">
        <f>Traduction!A15</f>
        <v>Nombre de paire de pieds par Pergola</v>
      </c>
      <c r="G13" s="432">
        <f>Info!D10</f>
        <v>1</v>
      </c>
      <c r="H13" s="430">
        <f>G13*2</f>
        <v>2</v>
      </c>
      <c r="I13" s="389"/>
      <c r="J13" s="429"/>
      <c r="M13" s="371"/>
      <c r="N13" s="371"/>
      <c r="O13" s="372"/>
      <c r="P13" s="358"/>
    </row>
    <row r="14" spans="1:24" ht="35.1" customHeight="1" thickBot="1">
      <c r="A14" s="230"/>
      <c r="F14" s="93" t="str">
        <f>Traduction!A124</f>
        <v>Option embases Pieds</v>
      </c>
      <c r="G14" s="288" t="s">
        <v>40</v>
      </c>
      <c r="H14" s="431"/>
      <c r="I14" s="396"/>
      <c r="J14" s="429"/>
      <c r="K14" s="429"/>
      <c r="L14" s="429"/>
      <c r="M14" s="373"/>
      <c r="N14" s="373"/>
      <c r="O14" s="372"/>
    </row>
    <row r="15" spans="1:24" ht="35.1" customHeight="1" thickBot="1">
      <c r="A15" s="230"/>
      <c r="H15" s="2">
        <f ca="1">INDIRECT(VLOOKUP(Catalogue!E58,Catalogue!$E$16:$G$57,2,FALSE))</f>
        <v>0</v>
      </c>
      <c r="J15" s="429"/>
      <c r="K15" s="429"/>
      <c r="L15" s="429"/>
      <c r="M15" s="375">
        <f>Catalogue!I14</f>
        <v>3523</v>
      </c>
      <c r="N15" s="496" t="str">
        <f>Traduction!A251</f>
        <v>* sans les embases pieds</v>
      </c>
      <c r="O15" s="497"/>
      <c r="P15" s="357"/>
    </row>
    <row r="16" spans="1:24" ht="35.1" customHeight="1" thickBot="1">
      <c r="A16" s="230"/>
      <c r="F16" s="94" t="str">
        <f>Traduction!A144</f>
        <v>Assemblage latéral (face aux modules à droite et à gauche )</v>
      </c>
      <c r="G16" s="284" t="s">
        <v>28</v>
      </c>
      <c r="H16" s="264"/>
      <c r="I16" s="236"/>
      <c r="J16" s="235"/>
      <c r="O16" s="424"/>
    </row>
    <row r="17" spans="1:15" ht="35.1" customHeight="1">
      <c r="A17" s="230"/>
      <c r="I17" s="236">
        <f>G21</f>
        <v>0</v>
      </c>
      <c r="O17" s="424"/>
    </row>
    <row r="18" spans="1:15" ht="35.1" customHeight="1">
      <c r="A18" s="230"/>
      <c r="I18" s="285">
        <f>G23</f>
        <v>2</v>
      </c>
      <c r="J18" s="285" t="str">
        <f>Traduction!A249</f>
        <v>Ligne(s) de Module(s) photovoltaïque(s)</v>
      </c>
      <c r="O18" s="424"/>
    </row>
    <row r="19" spans="1:15" ht="35.1" customHeight="1">
      <c r="A19" s="230"/>
      <c r="H19" s="2">
        <f ca="1">INDIRECT(VLOOKUP(Catalogue!$K$58,Catalogue!$K$16:$L$57,2,FALSE))</f>
        <v>0</v>
      </c>
      <c r="O19" s="424"/>
    </row>
    <row r="20" spans="1:15" ht="35.1" customHeight="1" thickBot="1">
      <c r="A20" s="230"/>
      <c r="H20" s="99">
        <f>Info!K25</f>
        <v>0</v>
      </c>
      <c r="O20" s="424"/>
    </row>
    <row r="21" spans="1:15" ht="35.1" customHeight="1" thickTop="1" thickBot="1">
      <c r="A21" s="230"/>
      <c r="M21" s="428"/>
      <c r="N21" s="236" t="str">
        <f>IF(G12=7016,"Couleur RAL7016 MAT","Couleur RAL9010 BRILLANT")</f>
        <v>Couleur RAL9010 BRILLANT</v>
      </c>
      <c r="O21" s="424"/>
    </row>
    <row r="22" spans="1:15" ht="35.1" customHeight="1" thickTop="1" thickBot="1">
      <c r="A22" s="230"/>
      <c r="F22" s="77"/>
      <c r="G22" s="289"/>
      <c r="H22" s="427"/>
      <c r="L22" s="429"/>
      <c r="O22" s="424"/>
    </row>
    <row r="23" spans="1:15" ht="35.1" customHeight="1" thickBot="1">
      <c r="A23" s="230"/>
      <c r="B23" s="12"/>
      <c r="C23" s="12"/>
      <c r="F23" s="94" t="str">
        <f>Traduction!A131</f>
        <v>Nombre de ligne(s) de panneaux photovoltaiques</v>
      </c>
      <c r="G23" s="327">
        <f>Info!J25</f>
        <v>2</v>
      </c>
      <c r="O23" s="424"/>
    </row>
    <row r="24" spans="1:15" ht="35.1" customHeight="1">
      <c r="A24" s="230"/>
      <c r="F24" s="391"/>
      <c r="G24" s="285"/>
      <c r="H24" s="99">
        <f>H20</f>
        <v>0</v>
      </c>
      <c r="O24" s="424"/>
    </row>
    <row r="25" spans="1:15" ht="35.1" customHeight="1">
      <c r="A25" s="230"/>
      <c r="F25" s="427"/>
      <c r="G25" s="427"/>
      <c r="H25" s="427"/>
      <c r="N25" s="12"/>
      <c r="O25" s="424"/>
    </row>
    <row r="26" spans="1:15" ht="15" customHeight="1">
      <c r="A26" s="230"/>
      <c r="G26" s="285"/>
      <c r="O26" s="424"/>
    </row>
    <row r="27" spans="1:15" ht="35.1" customHeight="1" thickBot="1">
      <c r="A27" s="230"/>
      <c r="G27" s="285"/>
      <c r="H27" s="427"/>
      <c r="O27" s="424"/>
    </row>
    <row r="28" spans="1:15" ht="35.1" customHeight="1">
      <c r="A28" s="230"/>
      <c r="F28" s="91" t="str">
        <f>Traduction!A132</f>
        <v>option kit Led : 4 spots  + alim + récepteur + télécommande</v>
      </c>
      <c r="G28" s="286" t="s">
        <v>28</v>
      </c>
      <c r="H28" s="2">
        <f ca="1">INDIRECT(VLOOKUP(Catalogue!$D$88,Catalogue!$D$61:$G$87,2,FALSE))</f>
        <v>0</v>
      </c>
      <c r="N28" s="238"/>
      <c r="O28" s="424"/>
    </row>
    <row r="29" spans="1:15" ht="35.1" customHeight="1">
      <c r="A29" s="230"/>
      <c r="F29" s="92" t="str">
        <f>Traduction!A133</f>
        <v>2 Spots supplémentaires</v>
      </c>
      <c r="G29" s="287">
        <v>0</v>
      </c>
      <c r="H29" s="264"/>
      <c r="N29" s="238" t="s">
        <v>467</v>
      </c>
      <c r="O29" s="424"/>
    </row>
    <row r="30" spans="1:15" ht="35.1" customHeight="1">
      <c r="A30" s="230"/>
      <c r="F30" s="95" t="str">
        <f>Traduction!A129</f>
        <v>kit de fixation de sous face</v>
      </c>
      <c r="G30" s="397" t="str">
        <f>Traduction!A248</f>
        <v>Inclus</v>
      </c>
      <c r="H30" s="264"/>
      <c r="O30" s="424"/>
    </row>
    <row r="31" spans="1:15" ht="35.1" customHeight="1" thickBot="1">
      <c r="A31" s="230"/>
      <c r="F31" s="96" t="str">
        <f>Traduction!A61</f>
        <v>Option sous-face</v>
      </c>
      <c r="G31" s="288" t="s">
        <v>28</v>
      </c>
      <c r="H31" s="264"/>
      <c r="O31" s="424"/>
    </row>
    <row r="32" spans="1:15" ht="12" customHeight="1">
      <c r="A32" s="230"/>
      <c r="G32" s="285"/>
      <c r="H32" s="427"/>
      <c r="O32" s="424"/>
    </row>
    <row r="33" spans="1:16" ht="35.1" customHeight="1" thickBot="1">
      <c r="A33" s="230"/>
      <c r="F33" s="390"/>
      <c r="I33" s="236"/>
      <c r="J33" s="236"/>
      <c r="L33" s="292"/>
      <c r="M33" s="293" t="str">
        <f>IF(G34="Yes",Traduction!A138,"")</f>
        <v/>
      </c>
      <c r="O33" s="424"/>
    </row>
    <row r="34" spans="1:16" ht="35.1" customHeight="1">
      <c r="A34" s="230"/>
      <c r="F34" s="448" t="str">
        <f>Traduction!A79</f>
        <v>Livraison sur chantier</v>
      </c>
      <c r="G34" s="286" t="s">
        <v>28</v>
      </c>
      <c r="M34" s="482" t="str">
        <f>IF(G34="Yes",Info!Q25,"")</f>
        <v/>
      </c>
      <c r="N34" s="482"/>
      <c r="O34" s="359"/>
      <c r="P34" s="12"/>
    </row>
    <row r="35" spans="1:16" ht="16.5" customHeight="1">
      <c r="A35" s="230"/>
      <c r="F35" s="498" t="str">
        <f>Traduction!A289</f>
        <v>(disponible uniquement en France continentale, Belgique et Luxembourg)</v>
      </c>
      <c r="G35" s="499"/>
      <c r="H35" s="264"/>
      <c r="L35" s="292">
        <f>IF(G36="Yes",G37,0)</f>
        <v>0</v>
      </c>
      <c r="M35" s="293">
        <f>IF(G36="Yes",Traduction!A139,0)</f>
        <v>0</v>
      </c>
      <c r="O35" s="424"/>
      <c r="P35" s="12"/>
    </row>
    <row r="36" spans="1:16" ht="35.1" customHeight="1" thickBot="1">
      <c r="A36" s="230"/>
      <c r="F36" s="93" t="str">
        <f>Traduction!A290</f>
        <v>Lieu de livraison :</v>
      </c>
      <c r="G36" s="288" t="s">
        <v>1176</v>
      </c>
      <c r="H36" s="99"/>
      <c r="M36" s="482" t="str">
        <f>IF(G36="Yes",Info!R25,"")</f>
        <v/>
      </c>
      <c r="N36" s="482"/>
      <c r="O36" s="359"/>
      <c r="P36" s="12"/>
    </row>
    <row r="37" spans="1:16" ht="35.1" customHeight="1">
      <c r="A37" s="230"/>
      <c r="F37" s="293">
        <f t="shared" ref="F37:G37" si="0">IF(E16="No",IF(E37&gt;2,"ATTENTION Qté NOK",0),0)</f>
        <v>0</v>
      </c>
      <c r="G37" s="293">
        <f t="shared" si="0"/>
        <v>0</v>
      </c>
      <c r="H37" s="293">
        <f>IF(G16="No",IF(G37&gt;2,"ATTENTION Qté NOK",0),0)</f>
        <v>0</v>
      </c>
      <c r="O37" s="424"/>
    </row>
    <row r="38" spans="1:16" ht="35.1" customHeight="1" thickBot="1">
      <c r="A38" s="230"/>
      <c r="F38" s="435" t="str">
        <f>Traduction!A224</f>
        <v>Kit distributeur</v>
      </c>
      <c r="G38" s="312"/>
      <c r="O38" s="424"/>
    </row>
    <row r="39" spans="1:16" ht="35.1" customHeight="1">
      <c r="A39" s="230"/>
      <c r="F39" s="318" t="str">
        <f>Traduction!A120</f>
        <v>Choix du module photovoltaïque</v>
      </c>
      <c r="G39" s="286" t="s">
        <v>28</v>
      </c>
      <c r="O39" s="424"/>
    </row>
    <row r="40" spans="1:16" ht="35.1" customHeight="1" thickBot="1">
      <c r="A40" s="230"/>
      <c r="F40" s="485" t="s">
        <v>654</v>
      </c>
      <c r="G40" s="486"/>
      <c r="O40" s="424"/>
    </row>
    <row r="41" spans="1:16" ht="35.1" customHeight="1" thickBot="1">
      <c r="A41" s="230"/>
      <c r="F41" s="312"/>
      <c r="O41" s="424"/>
    </row>
    <row r="42" spans="1:16" ht="35.1" customHeight="1">
      <c r="A42" s="230"/>
      <c r="F42" s="318" t="str">
        <f>Traduction!A121</f>
        <v>Choix de l'onduleur</v>
      </c>
      <c r="G42" s="286" t="s">
        <v>28</v>
      </c>
      <c r="O42" s="424"/>
    </row>
    <row r="43" spans="1:16" ht="35.1" customHeight="1" thickBot="1">
      <c r="A43" s="230"/>
      <c r="F43" s="485" t="s">
        <v>655</v>
      </c>
      <c r="G43" s="486"/>
      <c r="O43" s="424"/>
    </row>
    <row r="44" spans="1:16" ht="35.1" customHeight="1" thickBot="1">
      <c r="A44" s="230"/>
      <c r="F44" s="312"/>
      <c r="G44" s="312"/>
      <c r="O44" s="424"/>
    </row>
    <row r="45" spans="1:16" ht="35.1" customHeight="1" thickBot="1">
      <c r="A45" s="230"/>
      <c r="F45" s="94" t="str">
        <f>Traduction!A150</f>
        <v>Rajout Câbles de liaison</v>
      </c>
      <c r="G45" s="284" t="s">
        <v>28</v>
      </c>
      <c r="O45" s="424"/>
    </row>
    <row r="46" spans="1:16" ht="35.1" customHeight="1">
      <c r="A46" s="230"/>
      <c r="F46" s="312"/>
      <c r="G46" s="312"/>
      <c r="O46" s="424"/>
    </row>
    <row r="47" spans="1:16" ht="35.1" customHeight="1">
      <c r="A47" s="230"/>
      <c r="C47" s="360"/>
      <c r="O47" s="424"/>
    </row>
    <row r="48" spans="1:16" ht="35.1" customHeight="1">
      <c r="A48" s="230"/>
      <c r="C48" s="360"/>
      <c r="J48" s="228" t="s">
        <v>585</v>
      </c>
      <c r="L48" s="353" t="str">
        <f>Traduction!A66</f>
        <v xml:space="preserve">Altitude (m) : </v>
      </c>
      <c r="M48" s="387">
        <v>500</v>
      </c>
      <c r="O48" s="424"/>
    </row>
    <row r="49" spans="1:17" ht="35.1" customHeight="1">
      <c r="A49" s="230"/>
      <c r="J49" s="228" t="s">
        <v>586</v>
      </c>
      <c r="L49" s="353" t="str">
        <f>Traduction!A67</f>
        <v xml:space="preserve">Catégorie de terrain : </v>
      </c>
      <c r="M49" s="290" t="s">
        <v>489</v>
      </c>
      <c r="O49" s="424"/>
    </row>
    <row r="50" spans="1:17" ht="35.1" customHeight="1">
      <c r="A50" s="478" t="str">
        <f>Traduction!A216</f>
        <v>Catégorie 0 : 
mer ou zone côtière exposée aux vents de mer.</v>
      </c>
      <c r="D50" s="477" t="str">
        <f>Traduction!A217</f>
        <v>Catégorie 1 : 
lac ou zone à végétation négligeable et libre de tout obstacle.</v>
      </c>
      <c r="J50" s="228" t="s">
        <v>587</v>
      </c>
      <c r="O50" s="424"/>
    </row>
    <row r="51" spans="1:17" ht="35.1" customHeight="1">
      <c r="A51" s="478"/>
      <c r="D51" s="477"/>
      <c r="J51" s="228" t="s">
        <v>588</v>
      </c>
      <c r="L51" s="353" t="str">
        <f>Traduction!A68</f>
        <v xml:space="preserve">Zone de neige : </v>
      </c>
      <c r="M51" s="290" t="s">
        <v>434</v>
      </c>
      <c r="O51" s="424"/>
    </row>
    <row r="52" spans="1:17" ht="35.1" customHeight="1">
      <c r="A52" s="478"/>
      <c r="D52" s="477"/>
      <c r="E52" s="235"/>
      <c r="J52" s="228" t="s">
        <v>589</v>
      </c>
      <c r="L52" s="353" t="str">
        <f>Traduction!A70</f>
        <v xml:space="preserve">Pression de neige (Pa) : </v>
      </c>
      <c r="M52" s="349"/>
      <c r="O52" s="424"/>
    </row>
    <row r="53" spans="1:17" ht="35.1" customHeight="1">
      <c r="A53" s="479" t="str">
        <f>Traduction!A218</f>
        <v>Catégorie 2 : zone à végétation basse telle que de l’herbe, avec ou non quelques obstacles isolés (arbres, bâtiments) séparés les uns des autres d'au moins 20 fois leur hauteur.</v>
      </c>
      <c r="B53" s="235"/>
      <c r="C53" s="235"/>
      <c r="D53" s="480" t="str">
        <f>Traduction!A219</f>
        <v>Catégorie 3 : 
zone avec une couverture végétale régulière ou des bâtiments, ou avec des obstacles isolés séparés d'au plus 20 fois leur hauteur.</v>
      </c>
      <c r="E53" s="235"/>
      <c r="J53" s="228" t="s">
        <v>590</v>
      </c>
      <c r="O53" s="424"/>
    </row>
    <row r="54" spans="1:17" ht="35.1" customHeight="1">
      <c r="A54" s="479"/>
      <c r="B54" s="235"/>
      <c r="C54" s="235"/>
      <c r="D54" s="480"/>
      <c r="E54" s="235"/>
      <c r="J54" s="228" t="s">
        <v>591</v>
      </c>
      <c r="L54" s="353" t="str">
        <f>Traduction!A69</f>
        <v xml:space="preserve">Zone de vent : </v>
      </c>
      <c r="M54" s="290">
        <v>22</v>
      </c>
      <c r="O54" s="424"/>
    </row>
    <row r="55" spans="1:17" ht="35.1" customHeight="1">
      <c r="A55" s="479"/>
      <c r="B55" s="235"/>
      <c r="C55" s="235"/>
      <c r="D55" s="480"/>
      <c r="E55" s="235"/>
      <c r="J55" s="228" t="s">
        <v>592</v>
      </c>
      <c r="L55" s="353" t="str">
        <f>Traduction!A71</f>
        <v xml:space="preserve">Pression du vent (Pa) : </v>
      </c>
      <c r="M55" s="349"/>
      <c r="O55" s="424"/>
    </row>
    <row r="56" spans="1:17" ht="35.1" customHeight="1">
      <c r="A56" s="479"/>
      <c r="D56" s="480"/>
      <c r="E56" s="235"/>
      <c r="O56" s="424"/>
    </row>
    <row r="57" spans="1:17" ht="35.1" customHeight="1">
      <c r="A57" s="230"/>
      <c r="B57" s="235"/>
      <c r="C57" s="481" t="str">
        <f>Traduction!A220</f>
        <v>Catégorie 4 : 
zone dont au moins 15 % de la surface sont recouverts de bâtiments, dont la hauteur moyenne est supérieure à 15 m.</v>
      </c>
      <c r="D57" s="480"/>
      <c r="E57" s="235"/>
      <c r="F57" s="237"/>
      <c r="L57" s="321" t="s">
        <v>649</v>
      </c>
      <c r="M57" s="322" t="str">
        <f>G10</f>
        <v>2x2 2 Pieds</v>
      </c>
      <c r="O57" s="424"/>
    </row>
    <row r="58" spans="1:17" ht="35.1" customHeight="1">
      <c r="A58" s="230"/>
      <c r="B58" s="235"/>
      <c r="C58" s="481"/>
      <c r="D58" s="235"/>
      <c r="E58" s="235"/>
      <c r="F58" s="237"/>
      <c r="L58" s="352" t="str">
        <f>Traduction!A73</f>
        <v xml:space="preserve">Charges ascendantes : </v>
      </c>
      <c r="M58" s="322">
        <f>Info!T61</f>
        <v>482.47999999999996</v>
      </c>
      <c r="N58" s="238" t="str">
        <f>Info!AC69</f>
        <v>Charges OK</v>
      </c>
      <c r="O58" s="424"/>
    </row>
    <row r="59" spans="1:17" ht="35.1" customHeight="1">
      <c r="A59" s="230"/>
      <c r="B59" s="235"/>
      <c r="C59" s="481"/>
      <c r="D59" s="235"/>
      <c r="E59" s="235"/>
      <c r="F59" s="237"/>
      <c r="K59" s="427"/>
      <c r="L59" s="352" t="str">
        <f>Traduction!A72</f>
        <v xml:space="preserve">Charges descendantes : </v>
      </c>
      <c r="M59" s="322">
        <f>Info!T63</f>
        <v>800</v>
      </c>
      <c r="N59" s="238" t="str">
        <f>Info!AC70</f>
        <v>Charges OK</v>
      </c>
      <c r="O59" s="424"/>
    </row>
    <row r="60" spans="1:17" ht="35.1" customHeight="1">
      <c r="A60" s="230"/>
      <c r="B60" s="235"/>
      <c r="C60" s="407"/>
      <c r="D60" s="235"/>
      <c r="E60" s="235"/>
      <c r="F60" s="237"/>
      <c r="J60" s="228"/>
      <c r="K60" s="427"/>
      <c r="M60" s="361" t="str">
        <f>IF(Info!AI82=1,Traduction!A75,0)</f>
        <v>Attention : ajouter la chute de neige du toit si nécessaire.</v>
      </c>
      <c r="O60" s="424"/>
    </row>
    <row r="61" spans="1:17" ht="24.95" customHeight="1" thickBot="1">
      <c r="A61" s="239"/>
      <c r="B61" s="240"/>
      <c r="C61" s="240"/>
      <c r="D61" s="240"/>
      <c r="E61" s="240"/>
      <c r="F61" s="17"/>
      <c r="G61" s="17"/>
      <c r="H61" s="241"/>
      <c r="I61" s="17"/>
      <c r="J61" s="17"/>
      <c r="K61" s="17"/>
      <c r="L61" s="17"/>
      <c r="M61" s="17"/>
      <c r="N61" s="17"/>
      <c r="O61" s="242"/>
      <c r="P61" s="230"/>
    </row>
    <row r="62" spans="1:17" ht="35.1" customHeight="1">
      <c r="F62" s="58"/>
    </row>
    <row r="63" spans="1:17" ht="35.1" customHeight="1" thickBot="1">
      <c r="F63" s="58"/>
      <c r="P63" s="376"/>
      <c r="Q63" s="77"/>
    </row>
    <row r="64" spans="1:17" ht="30" customHeight="1" thickBot="1">
      <c r="A64" s="474" t="str">
        <f>Traduction!B29</f>
        <v>Nomenclature IRFTS</v>
      </c>
      <c r="B64" s="475"/>
      <c r="C64" s="475"/>
      <c r="D64" s="475"/>
      <c r="E64" s="475"/>
      <c r="F64" s="475"/>
      <c r="G64" s="475"/>
      <c r="H64" s="475"/>
      <c r="I64" s="476"/>
      <c r="K64" s="376"/>
      <c r="L64" s="77"/>
    </row>
    <row r="65" spans="1:12" s="360" customFormat="1" ht="45.75" customHeight="1" thickBot="1">
      <c r="A65" s="392" t="str">
        <f>Traduction!A31</f>
        <v>Référence</v>
      </c>
      <c r="B65" s="392" t="str">
        <f>Traduction!A32</f>
        <v>Référence distributeur</v>
      </c>
      <c r="C65" s="392" t="str">
        <f>Traduction!A33</f>
        <v>Désignation</v>
      </c>
      <c r="D65" s="393" t="str">
        <f>Traduction!A35</f>
        <v>Dimensions colis</v>
      </c>
      <c r="E65" s="393" t="str">
        <f>Traduction!A36</f>
        <v>Poids (Kg)</v>
      </c>
      <c r="F65" s="393" t="str">
        <f>Traduction!A37</f>
        <v>Désignation</v>
      </c>
      <c r="G65" s="394" t="str">
        <f>Traduction!A39</f>
        <v>Qté /Pergola</v>
      </c>
      <c r="H65" s="394" t="str">
        <f>Traduction!A143</f>
        <v>Complément</v>
      </c>
      <c r="I65" s="394" t="str">
        <f>Traduction!A38</f>
        <v>Qté Total</v>
      </c>
      <c r="K65" s="376"/>
      <c r="L65" s="77"/>
    </row>
    <row r="66" spans="1:12" ht="39.950000000000003" customHeight="1">
      <c r="A66" s="408" t="s">
        <v>1162</v>
      </c>
      <c r="B66" s="409"/>
      <c r="C66" s="410" t="str">
        <f>Traduction!A226</f>
        <v>TOIT EVO 2x2 7016 MAT</v>
      </c>
      <c r="D66" s="398" t="s">
        <v>775</v>
      </c>
      <c r="E66" s="399">
        <v>128</v>
      </c>
      <c r="F66" s="410" t="str">
        <f>C66</f>
        <v>TOIT EVO 2x2 7016 MAT</v>
      </c>
      <c r="G66" s="411">
        <f>IF(G12=7016,IF(G$10="2x2 2 Pieds",1,IF(G10="2x2 4 Pieds",1,0)),0)</f>
        <v>0</v>
      </c>
      <c r="H66" s="449"/>
      <c r="I66" s="622">
        <f t="shared" ref="I66:I73" si="1">G66*$G$8+H66</f>
        <v>0</v>
      </c>
      <c r="J66" s="391"/>
      <c r="K66" s="376"/>
      <c r="L66" s="77"/>
    </row>
    <row r="67" spans="1:12" ht="39.950000000000003" customHeight="1">
      <c r="A67" s="412" t="s">
        <v>757</v>
      </c>
      <c r="B67" s="413"/>
      <c r="C67" s="414" t="str">
        <f>Traduction!A227</f>
        <v>TOIT EVO 2x2 9010 BRILLANT</v>
      </c>
      <c r="D67" s="400" t="s">
        <v>775</v>
      </c>
      <c r="E67" s="401">
        <v>128</v>
      </c>
      <c r="F67" s="414" t="str">
        <f t="shared" ref="F67:F83" si="2">C67</f>
        <v>TOIT EVO 2x2 9010 BRILLANT</v>
      </c>
      <c r="G67" s="415">
        <f>IF(G12=9010,IF(G$10="2x2 2 Pieds",1,IF(G10="2x2 4 Pieds",1,0)),0)</f>
        <v>1</v>
      </c>
      <c r="H67" s="450"/>
      <c r="I67" s="623">
        <f>G67*$G$8+H67</f>
        <v>1</v>
      </c>
      <c r="J67" s="391"/>
      <c r="K67" s="376"/>
      <c r="L67" s="77"/>
    </row>
    <row r="68" spans="1:12" ht="39.950000000000003" customHeight="1">
      <c r="A68" s="412" t="s">
        <v>1163</v>
      </c>
      <c r="B68" s="413"/>
      <c r="C68" s="414" t="str">
        <f>Traduction!A228</f>
        <v>TOIT EVO 3x3 7016 MAT</v>
      </c>
      <c r="D68" s="400" t="s">
        <v>776</v>
      </c>
      <c r="E68" s="402">
        <v>203</v>
      </c>
      <c r="F68" s="414" t="str">
        <f t="shared" si="2"/>
        <v>TOIT EVO 3x3 7016 MAT</v>
      </c>
      <c r="G68" s="415">
        <f>IF(G12=7016,IF(G$10="3x3 2 Pieds",1,IF(G10="3x3 4 Pieds",1,0)),0)</f>
        <v>0</v>
      </c>
      <c r="H68" s="450"/>
      <c r="I68" s="623">
        <f t="shared" si="1"/>
        <v>0</v>
      </c>
      <c r="J68" s="391"/>
      <c r="K68" s="376"/>
      <c r="L68" s="77"/>
    </row>
    <row r="69" spans="1:12" ht="39.950000000000003" customHeight="1">
      <c r="A69" s="412" t="s">
        <v>758</v>
      </c>
      <c r="B69" s="413"/>
      <c r="C69" s="414" t="str">
        <f>Traduction!A229</f>
        <v>TOIT EVO 3x3 9010 BRILLANT</v>
      </c>
      <c r="D69" s="400" t="s">
        <v>776</v>
      </c>
      <c r="E69" s="402">
        <v>203</v>
      </c>
      <c r="F69" s="414" t="str">
        <f t="shared" si="2"/>
        <v>TOIT EVO 3x3 9010 BRILLANT</v>
      </c>
      <c r="G69" s="415">
        <f>IF(G12=9010,IF(G$10="3x3 2 Pieds",1,IF(G10="3x3 4 Pieds",1,0)),0)</f>
        <v>0</v>
      </c>
      <c r="H69" s="450"/>
      <c r="I69" s="623">
        <f t="shared" si="1"/>
        <v>0</v>
      </c>
      <c r="J69" s="391"/>
      <c r="K69" s="376"/>
      <c r="L69" s="77"/>
    </row>
    <row r="70" spans="1:12" ht="39.950000000000003" customHeight="1">
      <c r="A70" s="412" t="s">
        <v>1164</v>
      </c>
      <c r="B70" s="413"/>
      <c r="C70" s="414" t="str">
        <f>Traduction!A230</f>
        <v>TOIT EVO 4x2 7016 MAT</v>
      </c>
      <c r="D70" s="400" t="s">
        <v>777</v>
      </c>
      <c r="E70" s="401">
        <v>225</v>
      </c>
      <c r="F70" s="414" t="str">
        <f t="shared" si="2"/>
        <v>TOIT EVO 4x2 7016 MAT</v>
      </c>
      <c r="G70" s="415">
        <f>IF(G12=7016,IF(G$10="4x2 2 Pieds",1,IF(G10="4x2 4 Pieds",1,0)),0)</f>
        <v>0</v>
      </c>
      <c r="H70" s="450"/>
      <c r="I70" s="623">
        <f t="shared" si="1"/>
        <v>0</v>
      </c>
      <c r="J70" s="391"/>
      <c r="K70" s="376"/>
      <c r="L70" s="77"/>
    </row>
    <row r="71" spans="1:12" ht="39.950000000000003" customHeight="1">
      <c r="A71" s="412" t="s">
        <v>1201</v>
      </c>
      <c r="B71" s="413"/>
      <c r="C71" s="414" t="str">
        <f>Traduction!A231</f>
        <v>TOIT EVO 4x2 9010 BRILLANT</v>
      </c>
      <c r="D71" s="400" t="s">
        <v>777</v>
      </c>
      <c r="E71" s="401">
        <v>225</v>
      </c>
      <c r="F71" s="414" t="str">
        <f t="shared" si="2"/>
        <v>TOIT EVO 4x2 9010 BRILLANT</v>
      </c>
      <c r="G71" s="415">
        <f>IF(G12=9010,IF(G$10="4x2 2 Pieds",1,IF(G10="4x2 4 Pieds",1,0)),0)</f>
        <v>0</v>
      </c>
      <c r="H71" s="450"/>
      <c r="I71" s="623">
        <f t="shared" si="1"/>
        <v>0</v>
      </c>
      <c r="J71" s="391"/>
      <c r="K71" s="376"/>
      <c r="L71" s="77"/>
    </row>
    <row r="72" spans="1:12" ht="39.950000000000003" customHeight="1">
      <c r="A72" s="412" t="s">
        <v>1165</v>
      </c>
      <c r="B72" s="413"/>
      <c r="C72" s="414" t="str">
        <f>Traduction!A232</f>
        <v>TOIT EVO 4x3 7016 MAT</v>
      </c>
      <c r="D72" s="400" t="s">
        <v>776</v>
      </c>
      <c r="E72" s="402">
        <v>258</v>
      </c>
      <c r="F72" s="414" t="str">
        <f t="shared" si="2"/>
        <v>TOIT EVO 4x3 7016 MAT</v>
      </c>
      <c r="G72" s="415">
        <f>IF(G12=7016,IF(G$10="4x3 2 Pieds",1,IF(G10="4x3 4 Pieds",1,0)),0)</f>
        <v>0</v>
      </c>
      <c r="H72" s="450"/>
      <c r="I72" s="623">
        <f t="shared" si="1"/>
        <v>0</v>
      </c>
      <c r="J72" s="391"/>
      <c r="K72" s="376"/>
      <c r="L72" s="77"/>
    </row>
    <row r="73" spans="1:12" ht="39.950000000000003" customHeight="1">
      <c r="A73" s="412" t="s">
        <v>761</v>
      </c>
      <c r="B73" s="413"/>
      <c r="C73" s="414" t="str">
        <f>Traduction!A233</f>
        <v>TOIT EVO 4x3 9010 BRILLANT</v>
      </c>
      <c r="D73" s="400" t="s">
        <v>776</v>
      </c>
      <c r="E73" s="402">
        <v>258</v>
      </c>
      <c r="F73" s="414" t="str">
        <f t="shared" si="2"/>
        <v>TOIT EVO 4x3 9010 BRILLANT</v>
      </c>
      <c r="G73" s="415">
        <f>IF(G12=9010,IF(G$10="4x3 2 Pieds",1,IF(G10="4x3 4 Pieds",1,0)),0)</f>
        <v>0</v>
      </c>
      <c r="H73" s="450"/>
      <c r="I73" s="623">
        <f t="shared" si="1"/>
        <v>0</v>
      </c>
      <c r="J73" s="391"/>
      <c r="K73" s="376"/>
      <c r="L73" s="77"/>
    </row>
    <row r="74" spans="1:12" ht="39.950000000000003" customHeight="1">
      <c r="A74" s="412" t="s">
        <v>763</v>
      </c>
      <c r="B74" s="413"/>
      <c r="C74" s="414" t="str">
        <f>Traduction!A234</f>
        <v>PIEDS (Lot de 2) 2400 7016 MAT</v>
      </c>
      <c r="D74" s="403" t="s">
        <v>778</v>
      </c>
      <c r="E74" s="403">
        <v>17</v>
      </c>
      <c r="F74" s="414" t="str">
        <f t="shared" si="2"/>
        <v>PIEDS (Lot de 2) 2400 7016 MAT</v>
      </c>
      <c r="G74" s="415">
        <f>IF(G11=2400,IF(G12=7016,G13,0),0)</f>
        <v>0</v>
      </c>
      <c r="H74" s="450"/>
      <c r="I74" s="623">
        <f>IF(G12=7016,G74*$G$8+H74,0)</f>
        <v>0</v>
      </c>
      <c r="J74" s="391"/>
      <c r="K74" s="376"/>
      <c r="L74" s="77"/>
    </row>
    <row r="75" spans="1:12" ht="39.950000000000003" customHeight="1">
      <c r="A75" s="412" t="s">
        <v>765</v>
      </c>
      <c r="B75" s="413"/>
      <c r="C75" s="414" t="str">
        <f>Traduction!A235</f>
        <v>PIEDS (Lot de 2) 2400 9010 BRILLANT</v>
      </c>
      <c r="D75" s="403" t="s">
        <v>778</v>
      </c>
      <c r="E75" s="403">
        <v>17</v>
      </c>
      <c r="F75" s="414" t="str">
        <f t="shared" si="2"/>
        <v>PIEDS (Lot de 2) 2400 9010 BRILLANT</v>
      </c>
      <c r="G75" s="415">
        <f>IF(G11=2400,IF(G12=9010,G13,0),0)</f>
        <v>1</v>
      </c>
      <c r="H75" s="450"/>
      <c r="I75" s="623">
        <f>IF(G12=9010,G75*$G$8+H75,0)</f>
        <v>1</v>
      </c>
      <c r="J75" s="391"/>
      <c r="K75" s="376"/>
      <c r="L75" s="77"/>
    </row>
    <row r="76" spans="1:12" ht="39.950000000000003" customHeight="1">
      <c r="A76" s="412" t="s">
        <v>780</v>
      </c>
      <c r="B76" s="413"/>
      <c r="C76" s="414" t="str">
        <f>Traduction!A236</f>
        <v>PIEDS (Lot de 2) 3500 7016 MAT</v>
      </c>
      <c r="D76" s="403" t="s">
        <v>779</v>
      </c>
      <c r="E76" s="403">
        <v>25</v>
      </c>
      <c r="F76" s="414" t="str">
        <f t="shared" si="2"/>
        <v>PIEDS (Lot de 2) 3500 7016 MAT</v>
      </c>
      <c r="G76" s="415">
        <f>IF(G11=3500,IF(G12=7016,G13,0),0)</f>
        <v>0</v>
      </c>
      <c r="H76" s="450"/>
      <c r="I76" s="623">
        <f>IF(G11=3500,IF(G12=7016,G76*$G$8+H76,0),0)</f>
        <v>0</v>
      </c>
      <c r="J76" s="391"/>
      <c r="K76" s="376"/>
      <c r="L76" s="77"/>
    </row>
    <row r="77" spans="1:12" ht="39.950000000000003" customHeight="1">
      <c r="A77" s="412" t="s">
        <v>781</v>
      </c>
      <c r="B77" s="413"/>
      <c r="C77" s="414" t="str">
        <f>Traduction!A237</f>
        <v>PIEDS (Lot de 2) 3500 9010 BRILLANT</v>
      </c>
      <c r="D77" s="403" t="s">
        <v>779</v>
      </c>
      <c r="E77" s="403">
        <v>25</v>
      </c>
      <c r="F77" s="414" t="str">
        <f t="shared" si="2"/>
        <v>PIEDS (Lot de 2) 3500 9010 BRILLANT</v>
      </c>
      <c r="G77" s="415">
        <f>IF(G11=3500,IF(G12=9010,G13,0),0)</f>
        <v>0</v>
      </c>
      <c r="H77" s="450"/>
      <c r="I77" s="623">
        <f>IF(G11=3500,IF(G12=9010,G77*$G$8+H77,0),0)</f>
        <v>0</v>
      </c>
      <c r="J77" s="391"/>
      <c r="K77" s="376"/>
      <c r="L77" s="77"/>
    </row>
    <row r="78" spans="1:12" ht="39.950000000000003" customHeight="1">
      <c r="A78" s="416" t="s">
        <v>412</v>
      </c>
      <c r="B78" s="413"/>
      <c r="C78" s="414" t="str">
        <f>Traduction!A238</f>
        <v>KIT 4 SPOTS LED 3000°K</v>
      </c>
      <c r="D78" s="415" t="s">
        <v>797</v>
      </c>
      <c r="E78" s="415">
        <v>1.8</v>
      </c>
      <c r="F78" s="414" t="str">
        <f t="shared" si="2"/>
        <v>KIT 4 SPOTS LED 3000°K</v>
      </c>
      <c r="G78" s="415">
        <f>IF(G28="yes",1,0)</f>
        <v>0</v>
      </c>
      <c r="H78" s="450"/>
      <c r="I78" s="623">
        <f t="shared" ref="I78:I81" si="3">G78*$G$8+H78</f>
        <v>0</v>
      </c>
      <c r="J78" s="391"/>
      <c r="K78" s="376"/>
      <c r="L78" s="77"/>
    </row>
    <row r="79" spans="1:12" ht="39.950000000000003" customHeight="1">
      <c r="A79" s="416" t="s">
        <v>413</v>
      </c>
      <c r="B79" s="413"/>
      <c r="C79" s="414" t="str">
        <f>Traduction!A239</f>
        <v>KIT 2 SPOTS LED 3000°K</v>
      </c>
      <c r="D79" s="415" t="s">
        <v>798</v>
      </c>
      <c r="E79" s="415">
        <v>0.32900000000000001</v>
      </c>
      <c r="F79" s="414" t="str">
        <f t="shared" si="2"/>
        <v>KIT 2 SPOTS LED 3000°K</v>
      </c>
      <c r="G79" s="415">
        <f>IF(G28="Yes",IF(Catalogue!D89=65,0,G29),0)</f>
        <v>0</v>
      </c>
      <c r="H79" s="450"/>
      <c r="I79" s="623">
        <f t="shared" si="3"/>
        <v>0</v>
      </c>
      <c r="K79" s="376"/>
      <c r="L79" s="77"/>
    </row>
    <row r="80" spans="1:12" ht="39.950000000000003" customHeight="1">
      <c r="A80" s="416" t="s">
        <v>414</v>
      </c>
      <c r="B80" s="413"/>
      <c r="C80" s="414" t="str">
        <f>Traduction!A240</f>
        <v>sous face X3 : 980x2530 mm</v>
      </c>
      <c r="D80" s="415" t="s">
        <v>799</v>
      </c>
      <c r="E80" s="415">
        <v>357</v>
      </c>
      <c r="F80" s="414" t="str">
        <f t="shared" si="2"/>
        <v>sous face X3 : 980x2530 mm</v>
      </c>
      <c r="G80" s="415">
        <f>IF(G31="Yes",IF(G23&gt;0,IF(Info!S40&gt;0,Info!S40,0),0),0)</f>
        <v>0</v>
      </c>
      <c r="H80" s="450"/>
      <c r="I80" s="623">
        <f>G80*$G$8+H80</f>
        <v>0</v>
      </c>
      <c r="K80" s="376"/>
      <c r="L80" s="77"/>
    </row>
    <row r="81" spans="1:17" ht="39.950000000000003" customHeight="1">
      <c r="A81" s="416" t="s">
        <v>415</v>
      </c>
      <c r="B81" s="413"/>
      <c r="C81" s="414" t="str">
        <f>Traduction!A241</f>
        <v>sous face X2 : 980x3390 mm</v>
      </c>
      <c r="D81" s="415" t="s">
        <v>800</v>
      </c>
      <c r="E81" s="415">
        <v>478.2</v>
      </c>
      <c r="F81" s="414" t="str">
        <f t="shared" si="2"/>
        <v>sous face X2 : 980x3390 mm</v>
      </c>
      <c r="G81" s="415">
        <f>IF(G31="Yes",IF(G23&gt;0,IF(Info!T40&gt;0,Info!T40,0),0),0)</f>
        <v>0</v>
      </c>
      <c r="H81" s="450"/>
      <c r="I81" s="623">
        <f t="shared" si="3"/>
        <v>0</v>
      </c>
      <c r="K81" s="376"/>
      <c r="L81" s="77"/>
    </row>
    <row r="82" spans="1:17" ht="39.950000000000003" customHeight="1">
      <c r="A82" s="416" t="s">
        <v>766</v>
      </c>
      <c r="B82" s="413"/>
      <c r="C82" s="414" t="str">
        <f>Traduction!A242</f>
        <v>kit 2 embases pieds Ombrière</v>
      </c>
      <c r="D82" s="415" t="s">
        <v>801</v>
      </c>
      <c r="E82" s="415">
        <v>8</v>
      </c>
      <c r="F82" s="414" t="str">
        <f t="shared" si="2"/>
        <v>kit 2 embases pieds Ombrière</v>
      </c>
      <c r="G82" s="415">
        <f>IF($G$14="yes",IF(G16="yes","Assemblage",G74+G75+G76+G77),0)</f>
        <v>1</v>
      </c>
      <c r="H82" s="450"/>
      <c r="I82" s="623">
        <f>IF(G82&gt;0,IF(G16="Yes",ROUNDUP(Info!G10/2,0)+H82,G82*G8+H82),0)</f>
        <v>1</v>
      </c>
      <c r="K82" s="376"/>
      <c r="L82" s="77"/>
    </row>
    <row r="83" spans="1:17" ht="39.950000000000003" customHeight="1">
      <c r="A83" s="416" t="s">
        <v>768</v>
      </c>
      <c r="B83" s="413"/>
      <c r="C83" s="440" t="str">
        <f>Traduction!A243</f>
        <v>KIT VISSERIE SHADOW SOLAR EVO 1E</v>
      </c>
      <c r="D83" s="415" t="s">
        <v>802</v>
      </c>
      <c r="E83" s="415">
        <v>4.57</v>
      </c>
      <c r="F83" s="414" t="str">
        <f t="shared" si="2"/>
        <v>KIT VISSERIE SHADOW SOLAR EVO 1E</v>
      </c>
      <c r="G83" s="415">
        <f>G67+G69+G73</f>
        <v>1</v>
      </c>
      <c r="H83" s="450"/>
      <c r="I83" s="623">
        <f>G83*$G$8+H83</f>
        <v>1</v>
      </c>
      <c r="K83" s="376"/>
      <c r="L83" s="77"/>
    </row>
    <row r="84" spans="1:17" ht="39.950000000000003" customHeight="1">
      <c r="A84" s="416" t="s">
        <v>1166</v>
      </c>
      <c r="B84" s="413"/>
      <c r="C84" s="440" t="str">
        <f>Traduction!A285</f>
        <v>KIT VISSERIE SHADOW SOLAR EVO 1F</v>
      </c>
      <c r="D84" s="415" t="s">
        <v>802</v>
      </c>
      <c r="E84" s="415">
        <v>4.57</v>
      </c>
      <c r="F84" s="414" t="str">
        <f t="shared" ref="F84" si="4">C84</f>
        <v>KIT VISSERIE SHADOW SOLAR EVO 1F</v>
      </c>
      <c r="G84" s="415">
        <f>G66+G68+G70+G71+G72</f>
        <v>0</v>
      </c>
      <c r="H84" s="450"/>
      <c r="I84" s="623">
        <f>G84*$G$8+H84</f>
        <v>0</v>
      </c>
      <c r="K84" s="376"/>
      <c r="L84" s="77"/>
    </row>
    <row r="85" spans="1:17" ht="39.950000000000003" customHeight="1">
      <c r="A85" s="416" t="s">
        <v>791</v>
      </c>
      <c r="B85" s="413"/>
      <c r="C85" s="440" t="str">
        <f>Traduction!A244</f>
        <v>Joint pour assemblage ombrières 12 m</v>
      </c>
      <c r="D85" s="415" t="s">
        <v>793</v>
      </c>
      <c r="E85" s="415">
        <v>1.6</v>
      </c>
      <c r="F85" s="414" t="str">
        <f t="shared" ref="F85:F86" si="5">C85</f>
        <v>Joint pour assemblage ombrières 12 m</v>
      </c>
      <c r="G85" s="415">
        <f>IF(G16="yes","Assemblage",0)</f>
        <v>0</v>
      </c>
      <c r="H85" s="450"/>
      <c r="I85" s="623">
        <f>IF(G16="yes",H85+ROUNDUP((G8-1)/2,0),0)</f>
        <v>0</v>
      </c>
      <c r="K85" s="376"/>
      <c r="L85" s="77"/>
    </row>
    <row r="86" spans="1:17" ht="39.950000000000003" customHeight="1">
      <c r="A86" s="416" t="s">
        <v>792</v>
      </c>
      <c r="B86" s="413"/>
      <c r="C86" s="414" t="str">
        <f>Traduction!A245</f>
        <v>Lot de 4 éclisses de bandeau</v>
      </c>
      <c r="D86" s="415" t="s">
        <v>794</v>
      </c>
      <c r="E86" s="415">
        <v>0.14000000000000001</v>
      </c>
      <c r="F86" s="414" t="str">
        <f t="shared" si="5"/>
        <v>Lot de 4 éclisses de bandeau</v>
      </c>
      <c r="G86" s="415">
        <f>IF(G16="yes","Assemblage",0)</f>
        <v>0</v>
      </c>
      <c r="H86" s="450"/>
      <c r="I86" s="623">
        <f>IF(G16="yes",(G8-1)+H86,0)</f>
        <v>0</v>
      </c>
      <c r="K86" s="376"/>
      <c r="L86" s="77"/>
    </row>
    <row r="87" spans="1:17" ht="39.950000000000003" customHeight="1">
      <c r="A87" s="416" t="s">
        <v>836</v>
      </c>
      <c r="B87" s="413"/>
      <c r="C87" s="441" t="str">
        <f>Traduction!A246</f>
        <v>FRAIS DE LIVRAISON grande Shadow (pour Shadow autres que 2x2)</v>
      </c>
      <c r="D87" s="437"/>
      <c r="E87" s="437"/>
      <c r="F87" s="413" t="str">
        <f>C87</f>
        <v>FRAIS DE LIVRAISON grande Shadow (pour Shadow autres que 2x2)</v>
      </c>
      <c r="G87" s="437">
        <f>IF(Instructions!$J$7&lt;&gt;"Français",0,IF(G34="yes",IF(G88=0,1,0),0))</f>
        <v>0</v>
      </c>
      <c r="H87" s="451"/>
      <c r="I87" s="623">
        <f>G87*$G$8+H87</f>
        <v>0</v>
      </c>
      <c r="K87" s="376"/>
      <c r="L87" s="77"/>
    </row>
    <row r="88" spans="1:17" ht="39.950000000000003" customHeight="1">
      <c r="A88" s="416" t="s">
        <v>838</v>
      </c>
      <c r="B88" s="413"/>
      <c r="C88" s="441" t="str">
        <f>Traduction!A247</f>
        <v>FRAIS DE LIVRAISON petite Shadow Solar EVO (pour les shadow 2X2)</v>
      </c>
      <c r="D88" s="437"/>
      <c r="E88" s="437"/>
      <c r="F88" s="413" t="str">
        <f>C88</f>
        <v>FRAIS DE LIVRAISON petite Shadow Solar EVO (pour les shadow 2X2)</v>
      </c>
      <c r="G88" s="437">
        <f>IF(Instructions!$J$7&lt;&gt;"Français",0,IF(G34="yes",IF(Info!C10=Info!C2,1,IF(Info!C10=Info!C3,1,0)),0))</f>
        <v>0</v>
      </c>
      <c r="H88" s="451"/>
      <c r="I88" s="623">
        <f>G88*$G$8+H88</f>
        <v>0</v>
      </c>
      <c r="K88" s="376"/>
      <c r="L88" s="77"/>
    </row>
    <row r="89" spans="1:17" ht="39.950000000000003" customHeight="1" thickBot="1">
      <c r="A89" s="624" t="s">
        <v>1188</v>
      </c>
      <c r="B89" s="625"/>
      <c r="C89" s="626" t="str">
        <f>Traduction!A291</f>
        <v>Forfait Belgique/Luxembourg</v>
      </c>
      <c r="D89" s="417"/>
      <c r="E89" s="417"/>
      <c r="F89" s="627" t="str">
        <f>Traduction!A291</f>
        <v>Forfait Belgique/Luxembourg</v>
      </c>
      <c r="G89" s="417">
        <f>IF(G34="Yes",IF(G36=Traduction!A287,1,0),0)</f>
        <v>0</v>
      </c>
      <c r="H89" s="452"/>
      <c r="I89" s="628">
        <f>G89*$G$8+H89</f>
        <v>0</v>
      </c>
      <c r="K89" s="376"/>
      <c r="L89" s="77"/>
    </row>
    <row r="90" spans="1:17" ht="15.75" thickBot="1">
      <c r="A90" s="406"/>
      <c r="B90" s="62"/>
      <c r="C90" s="406"/>
      <c r="F90" s="50" t="str">
        <f>Traduction!A64</f>
        <v>Poids (Kg)</v>
      </c>
      <c r="G90" s="56">
        <f>E66*I66+E67*I67+E68*I68+E69*I69+E70*I70+E71*I71+E72*I72+E73*I73+E74*I74+E75*I75+E76*I76+E77*I77+E78*I78+E79*I79+E80*I80+E81*I81+E82*I82+E83*I83+E84*I84+E85*I85+E86*I86</f>
        <v>157.57</v>
      </c>
      <c r="H90" s="18"/>
      <c r="P90" s="376"/>
      <c r="Q90" s="77"/>
    </row>
    <row r="91" spans="1:17">
      <c r="H91" s="12"/>
    </row>
    <row r="92" spans="1:17">
      <c r="H92" s="12"/>
    </row>
    <row r="93" spans="1:17">
      <c r="H93" s="12"/>
    </row>
    <row r="94" spans="1:17">
      <c r="H94" s="12"/>
    </row>
    <row r="95" spans="1:17">
      <c r="H95" s="12"/>
    </row>
    <row r="96" spans="1:17">
      <c r="H96" s="12"/>
    </row>
    <row r="97" spans="8:8">
      <c r="H97" s="12"/>
    </row>
    <row r="98" spans="8:8">
      <c r="H98" s="12"/>
    </row>
    <row r="99" spans="8:8">
      <c r="H99" s="12"/>
    </row>
    <row r="100" spans="8:8">
      <c r="H100" s="12"/>
    </row>
  </sheetData>
  <sheetProtection algorithmName="SHA-512" hashValue="NQ2uaUdnXGwuC+Yzora6gjGknFvQUhnnKZOZtm8fCVQbmMm8U56CM1q2Dyt707EyJCz/qbye1uncrygf8nEX9Q==" saltValue="1y+tWqXtFCC4cnOlP/wniA==" spinCount="100000" sheet="1" selectLockedCells="1"/>
  <autoFilter ref="A65:R90" xr:uid="{00000000-0009-0000-0000-000002000000}"/>
  <customSheetViews>
    <customSheetView guid="{D8D7B009-33DC-454B-9FCD-4FE65C8432CF}" scale="77" zeroValues="0" fitToPage="1" printArea="1" showAutoFilter="1" topLeftCell="A43">
      <selection activeCell="B43" sqref="B43"/>
      <pageMargins left="0" right="0" top="0" bottom="0" header="0" footer="0"/>
      <pageSetup paperSize="9" scale="21" orientation="landscape" r:id="rId1"/>
      <autoFilter ref="A64:R124" xr:uid="{547C863E-3C4F-4FDC-9EDB-2BE6370AD8CD}"/>
    </customSheetView>
  </customSheetViews>
  <mergeCells count="24">
    <mergeCell ref="A64:I64"/>
    <mergeCell ref="F3:H3"/>
    <mergeCell ref="F43:G43"/>
    <mergeCell ref="M36:N36"/>
    <mergeCell ref="W9:W10"/>
    <mergeCell ref="A4:B4"/>
    <mergeCell ref="I4:J4"/>
    <mergeCell ref="I5:J5"/>
    <mergeCell ref="I6:J6"/>
    <mergeCell ref="N15:O15"/>
    <mergeCell ref="F35:G35"/>
    <mergeCell ref="X9:X10"/>
    <mergeCell ref="N10:O10"/>
    <mergeCell ref="D50:D52"/>
    <mergeCell ref="A50:A52"/>
    <mergeCell ref="A53:A56"/>
    <mergeCell ref="D53:D57"/>
    <mergeCell ref="C57:C59"/>
    <mergeCell ref="M34:N34"/>
    <mergeCell ref="T9:T10"/>
    <mergeCell ref="U9:U10"/>
    <mergeCell ref="M9:O9"/>
    <mergeCell ref="V9:V10"/>
    <mergeCell ref="F40:G40"/>
  </mergeCells>
  <conditionalFormatting sqref="H12">
    <cfRule type="expression" dxfId="41" priority="70">
      <formula>"f11=""7016"""</formula>
    </cfRule>
  </conditionalFormatting>
  <conditionalFormatting sqref="M49">
    <cfRule type="expression" dxfId="40" priority="58">
      <formula>#REF!="No"</formula>
    </cfRule>
  </conditionalFormatting>
  <conditionalFormatting sqref="G29">
    <cfRule type="expression" dxfId="39" priority="50">
      <formula>$G$28="No"</formula>
    </cfRule>
  </conditionalFormatting>
  <conditionalFormatting sqref="D87:E87 G87:H87 A66:I83 C85:C87 D85:I86 A85:B86">
    <cfRule type="expression" dxfId="38" priority="45">
      <formula>$I66&gt;0</formula>
    </cfRule>
  </conditionalFormatting>
  <conditionalFormatting sqref="G31">
    <cfRule type="expression" dxfId="37" priority="28">
      <formula>$G$30="No"</formula>
    </cfRule>
    <cfRule type="expression" dxfId="36" priority="40">
      <formula>$G$23=0</formula>
    </cfRule>
  </conditionalFormatting>
  <conditionalFormatting sqref="N58">
    <cfRule type="expression" dxfId="35" priority="34">
      <formula>$N$58="Charges trop importantes"</formula>
    </cfRule>
    <cfRule type="expression" dxfId="34" priority="36">
      <formula>$N$58="Charges OK"</formula>
    </cfRule>
  </conditionalFormatting>
  <conditionalFormatting sqref="N59">
    <cfRule type="expression" dxfId="33" priority="33">
      <formula>$N$59="Charges trop importantes"</formula>
    </cfRule>
    <cfRule type="expression" dxfId="32" priority="35">
      <formula>$N$59="Charges OK"</formula>
    </cfRule>
  </conditionalFormatting>
  <conditionalFormatting sqref="F40:G40">
    <cfRule type="expression" dxfId="31" priority="30">
      <formula>$G$39="No"</formula>
    </cfRule>
  </conditionalFormatting>
  <conditionalFormatting sqref="F43:G43">
    <cfRule type="expression" dxfId="30" priority="29">
      <formula>$G$42="No"</formula>
    </cfRule>
  </conditionalFormatting>
  <conditionalFormatting sqref="F37:H37">
    <cfRule type="expression" dxfId="29" priority="20">
      <formula>$H$37&gt;0</formula>
    </cfRule>
  </conditionalFormatting>
  <conditionalFormatting sqref="M51">
    <cfRule type="expression" dxfId="28" priority="81">
      <formula>$M$55&gt;0</formula>
    </cfRule>
    <cfRule type="expression" dxfId="27" priority="82">
      <formula>$M$52&gt;0</formula>
    </cfRule>
  </conditionalFormatting>
  <conditionalFormatting sqref="M54">
    <cfRule type="expression" dxfId="26" priority="83">
      <formula>$M$52&gt;0</formula>
    </cfRule>
    <cfRule type="expression" dxfId="25" priority="84">
      <formula>$M$55&gt;0</formula>
    </cfRule>
  </conditionalFormatting>
  <conditionalFormatting sqref="M8 M21">
    <cfRule type="expression" dxfId="24" priority="85">
      <formula>$G$12=7016</formula>
    </cfRule>
  </conditionalFormatting>
  <conditionalFormatting sqref="G34">
    <cfRule type="expression" dxfId="23" priority="18">
      <formula>$G$30="No"</formula>
    </cfRule>
    <cfRule type="expression" dxfId="22" priority="19">
      <formula>$G$23=0</formula>
    </cfRule>
  </conditionalFormatting>
  <conditionalFormatting sqref="I87">
    <cfRule type="expression" dxfId="21" priority="17">
      <formula>$I87&gt;0</formula>
    </cfRule>
  </conditionalFormatting>
  <conditionalFormatting sqref="A87:B87">
    <cfRule type="expression" dxfId="20" priority="16">
      <formula>$I87&gt;0</formula>
    </cfRule>
  </conditionalFormatting>
  <conditionalFormatting sqref="F87">
    <cfRule type="expression" dxfId="19" priority="14">
      <formula>$I87&gt;0</formula>
    </cfRule>
  </conditionalFormatting>
  <conditionalFormatting sqref="A84:I84">
    <cfRule type="expression" dxfId="18" priority="13">
      <formula>$I84&gt;0</formula>
    </cfRule>
  </conditionalFormatting>
  <conditionalFormatting sqref="C89">
    <cfRule type="expression" dxfId="17" priority="11">
      <formula>$I89&gt;0</formula>
    </cfRule>
  </conditionalFormatting>
  <conditionalFormatting sqref="D89:E89 G89:H89">
    <cfRule type="expression" dxfId="16" priority="10">
      <formula>$I89&gt;0</formula>
    </cfRule>
  </conditionalFormatting>
  <conditionalFormatting sqref="A89:B89">
    <cfRule type="expression" dxfId="15" priority="9">
      <formula>$I89&gt;0</formula>
    </cfRule>
  </conditionalFormatting>
  <conditionalFormatting sqref="F89">
    <cfRule type="expression" dxfId="14" priority="8">
      <formula>$I89&gt;0</formula>
    </cfRule>
  </conditionalFormatting>
  <conditionalFormatting sqref="G88:H88 C88:E88">
    <cfRule type="expression" dxfId="13" priority="7">
      <formula>$I88&gt;0</formula>
    </cfRule>
  </conditionalFormatting>
  <conditionalFormatting sqref="I88:I89">
    <cfRule type="expression" dxfId="12" priority="6">
      <formula>$I88&gt;0</formula>
    </cfRule>
  </conditionalFormatting>
  <conditionalFormatting sqref="A88:B88">
    <cfRule type="expression" dxfId="11" priority="5">
      <formula>$I88&gt;0</formula>
    </cfRule>
  </conditionalFormatting>
  <conditionalFormatting sqref="F88">
    <cfRule type="expression" dxfId="10" priority="4">
      <formula>$I88&gt;0</formula>
    </cfRule>
  </conditionalFormatting>
  <conditionalFormatting sqref="G36">
    <cfRule type="expression" dxfId="9" priority="1">
      <formula>$G$34="No"</formula>
    </cfRule>
    <cfRule type="expression" dxfId="8" priority="2">
      <formula>$G$30="No"</formula>
    </cfRule>
    <cfRule type="expression" dxfId="7" priority="3">
      <formula>$G$23=0</formula>
    </cfRule>
  </conditionalFormatting>
  <pageMargins left="0" right="0" top="0" bottom="0" header="0" footer="0"/>
  <pageSetup paperSize="9" scale="25" orientation="portrait" r:id="rId2"/>
  <rowBreaks count="1" manualBreakCount="1">
    <brk id="61" max="14" man="1"/>
  </rowBreaks>
  <ignoredErrors>
    <ignoredError sqref="G23 H24 H20 F87:F88" unlockedFormula="1"/>
  </ignoredError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200-000000000000}">
          <x14:formula1>
            <xm:f>Info!$A$47:$A$54</xm:f>
          </x14:formula1>
          <xm:sqref>M54</xm:sqref>
        </x14:dataValidation>
        <x14:dataValidation type="list" allowBlank="1" showInputMessage="1" showErrorMessage="1" xr:uid="{00000000-0002-0000-0200-000001000000}">
          <x14:formula1>
            <xm:f>Info!$AA$54:$AA$61</xm:f>
          </x14:formula1>
          <xm:sqref>M51</xm:sqref>
        </x14:dataValidation>
        <x14:dataValidation type="list" allowBlank="1" showInputMessage="1" showErrorMessage="1" xr:uid="{00000000-0002-0000-0200-000002000000}">
          <x14:formula1>
            <xm:f>Info!$B$47:$B$51</xm:f>
          </x14:formula1>
          <xm:sqref>M49</xm:sqref>
        </x14:dataValidation>
        <x14:dataValidation type="list" allowBlank="1" showInputMessage="1" showErrorMessage="1" xr:uid="{00000000-0002-0000-0200-000003000000}">
          <x14:formula1>
            <xm:f>Info!$N$3:$N$4</xm:f>
          </x14:formula1>
          <xm:sqref>G12</xm:sqref>
        </x14:dataValidation>
        <x14:dataValidation type="list" allowBlank="1" showInputMessage="1" showErrorMessage="1" xr:uid="{00000000-0002-0000-0200-000004000000}">
          <x14:formula1>
            <xm:f>Info!$L$2:$L$3</xm:f>
          </x14:formula1>
          <xm:sqref>G39 G14 G45 G28 G16 G42 G31 G34</xm:sqref>
        </x14:dataValidation>
        <x14:dataValidation type="list" allowBlank="1" showInputMessage="1" showErrorMessage="1" xr:uid="{00000000-0002-0000-0200-000005000000}">
          <x14:formula1>
            <xm:f>Info!$P$2:$P$4</xm:f>
          </x14:formula1>
          <xm:sqref>G29</xm:sqref>
        </x14:dataValidation>
        <x14:dataValidation type="list" allowBlank="1" showInputMessage="1" showErrorMessage="1" xr:uid="{00000000-0002-0000-0200-000006000000}">
          <x14:formula1>
            <xm:f>'Liste Module  Onduleur,..'!$C$6:$C$9</xm:f>
          </x14:formula1>
          <xm:sqref>F40</xm:sqref>
        </x14:dataValidation>
        <x14:dataValidation type="list" allowBlank="1" showInputMessage="1" showErrorMessage="1" xr:uid="{00000000-0002-0000-0200-000007000000}">
          <x14:formula1>
            <xm:f>'Liste Module  Onduleur,..'!$C$10:$C$14</xm:f>
          </x14:formula1>
          <xm:sqref>F43:G43</xm:sqref>
        </x14:dataValidation>
        <x14:dataValidation type="list" allowBlank="1" showInputMessage="1" showErrorMessage="1" xr:uid="{00000000-0002-0000-0200-000008000000}">
          <x14:formula1>
            <xm:f>Info!$C$2:$C$9</xm:f>
          </x14:formula1>
          <xm:sqref>G10</xm:sqref>
        </x14:dataValidation>
        <x14:dataValidation type="list" allowBlank="1" showInputMessage="1" showErrorMessage="1" xr:uid="{00000000-0002-0000-0200-000009000000}">
          <x14:formula1>
            <xm:f>Info!$T$2:$T$3</xm:f>
          </x14:formula1>
          <xm:sqref>G11</xm:sqref>
        </x14:dataValidation>
        <x14:dataValidation type="list" allowBlank="1" showInputMessage="1" showErrorMessage="1" xr:uid="{F0F4F485-0B18-4621-AD71-944426451C3F}">
          <x14:formula1>
            <xm:f>Info!$Y$2:$Y$3</xm:f>
          </x14:formula1>
          <xm:sqref>G36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F297"/>
  <sheetViews>
    <sheetView showGridLines="0" workbookViewId="0">
      <pane xSplit="1" ySplit="8" topLeftCell="B285" activePane="bottomRight" state="frozen"/>
      <selection activeCell="C35" sqref="C35"/>
      <selection pane="topRight" activeCell="C35" sqref="C35"/>
      <selection pane="bottomLeft" activeCell="C35" sqref="C35"/>
      <selection pane="bottomRight" activeCell="B292" sqref="B292:E292"/>
    </sheetView>
  </sheetViews>
  <sheetFormatPr baseColWidth="10" defaultRowHeight="15"/>
  <cols>
    <col min="1" max="1" width="56.42578125" customWidth="1"/>
    <col min="2" max="2" width="72.5703125" customWidth="1"/>
    <col min="3" max="3" width="76.42578125" bestFit="1" customWidth="1"/>
    <col min="4" max="4" width="76.42578125" customWidth="1"/>
    <col min="5" max="5" width="99.140625" bestFit="1" customWidth="1"/>
  </cols>
  <sheetData>
    <row r="1" spans="1:5" ht="16.5" thickTop="1" thickBot="1">
      <c r="A1" s="34" t="s">
        <v>129</v>
      </c>
      <c r="B1" s="35">
        <f>IF(Instructions!J7=B8,1,IF(Instructions!J7=C8,2,IF(Instructions!J7=D8,3,IF(Instructions!J7=E8,4,0))))</f>
        <v>1</v>
      </c>
    </row>
    <row r="2" spans="1:5" ht="16.5" thickTop="1" thickBot="1"/>
    <row r="3" spans="1:5" ht="15.75" thickTop="1">
      <c r="A3" s="36" t="s">
        <v>11</v>
      </c>
      <c r="B3" s="343" t="s">
        <v>12</v>
      </c>
    </row>
    <row r="4" spans="1:5">
      <c r="A4" s="37"/>
      <c r="B4" s="344" t="s">
        <v>13</v>
      </c>
    </row>
    <row r="5" spans="1:5">
      <c r="A5" s="37"/>
      <c r="B5" s="344" t="s">
        <v>672</v>
      </c>
    </row>
    <row r="6" spans="1:5" ht="15.75" thickBot="1">
      <c r="A6" s="38"/>
      <c r="B6" s="345" t="s">
        <v>14</v>
      </c>
    </row>
    <row r="7" spans="1:5" ht="15.75" thickTop="1"/>
    <row r="8" spans="1:5">
      <c r="A8" s="341" t="s">
        <v>15</v>
      </c>
      <c r="B8" s="341" t="s">
        <v>12</v>
      </c>
      <c r="C8" s="341" t="s">
        <v>13</v>
      </c>
      <c r="D8" s="341" t="s">
        <v>672</v>
      </c>
      <c r="E8" s="342" t="s">
        <v>14</v>
      </c>
    </row>
    <row r="9" spans="1:5">
      <c r="A9" s="21" t="str">
        <f>INDEX(B9:E9,$B$1)</f>
        <v>Définition tarifaire des SHADOW SOLAR EVOLUTION</v>
      </c>
      <c r="B9" s="23" t="s">
        <v>857</v>
      </c>
      <c r="C9" s="21" t="s">
        <v>840</v>
      </c>
      <c r="D9" s="21" t="s">
        <v>1031</v>
      </c>
      <c r="E9" s="21" t="s">
        <v>858</v>
      </c>
    </row>
    <row r="10" spans="1:5">
      <c r="A10" s="337" t="str">
        <f t="shared" ref="A10:A111" si="0">INDEX(B10:E10,$B$1)</f>
        <v>Ex : ombrière 4x2, 2 pieds (appui façade)</v>
      </c>
      <c r="B10" s="355" t="s">
        <v>130</v>
      </c>
      <c r="C10" s="337" t="s">
        <v>16</v>
      </c>
      <c r="D10" s="337" t="s">
        <v>1032</v>
      </c>
      <c r="E10" s="337" t="s">
        <v>266</v>
      </c>
    </row>
    <row r="11" spans="1:5">
      <c r="A11" s="337" t="str">
        <f>INDEX(B11:E11,$B$1)</f>
        <v>Les indications tarifaires ci-dessous n'incluent ni les modules, ni les fixations au sol et au mur</v>
      </c>
      <c r="B11" s="337" t="s">
        <v>131</v>
      </c>
      <c r="C11" s="337" t="s">
        <v>17</v>
      </c>
      <c r="D11" s="337" t="s">
        <v>890</v>
      </c>
      <c r="E11" s="337" t="s">
        <v>267</v>
      </c>
    </row>
    <row r="12" spans="1:5">
      <c r="A12" s="337" t="str">
        <f t="shared" si="0"/>
        <v>Ex : ombrière 4x2, 4 pieds</v>
      </c>
      <c r="B12" s="355" t="s">
        <v>132</v>
      </c>
      <c r="C12" s="337" t="s">
        <v>18</v>
      </c>
      <c r="D12" s="337" t="s">
        <v>891</v>
      </c>
      <c r="E12" s="337" t="s">
        <v>268</v>
      </c>
    </row>
    <row r="13" spans="1:5">
      <c r="A13" s="21" t="str">
        <f t="shared" si="0"/>
        <v>Définir la quantité de commande</v>
      </c>
      <c r="B13" s="22" t="s">
        <v>1</v>
      </c>
      <c r="C13" s="22" t="s">
        <v>697</v>
      </c>
      <c r="D13" s="22" t="s">
        <v>698</v>
      </c>
      <c r="E13" s="21" t="s">
        <v>263</v>
      </c>
    </row>
    <row r="14" spans="1:5">
      <c r="A14" s="21" t="str">
        <f t="shared" si="0"/>
        <v>Selectionner votre format de toiture</v>
      </c>
      <c r="B14" s="22" t="s">
        <v>9</v>
      </c>
      <c r="C14" s="22" t="s">
        <v>19</v>
      </c>
      <c r="D14" s="22" t="s">
        <v>1033</v>
      </c>
      <c r="E14" s="21" t="s">
        <v>269</v>
      </c>
    </row>
    <row r="15" spans="1:5">
      <c r="A15" s="21" t="str">
        <f t="shared" si="0"/>
        <v>Nombre de paire de pieds par Pergola</v>
      </c>
      <c r="B15" s="22" t="s">
        <v>605</v>
      </c>
      <c r="C15" s="22" t="s">
        <v>20</v>
      </c>
      <c r="D15" s="22" t="s">
        <v>892</v>
      </c>
      <c r="E15" s="21" t="s">
        <v>270</v>
      </c>
    </row>
    <row r="16" spans="1:5">
      <c r="A16" s="21" t="str">
        <f t="shared" si="0"/>
        <v>Nombre de paire d'équerres par Pergola</v>
      </c>
      <c r="B16" s="22" t="s">
        <v>803</v>
      </c>
      <c r="C16" s="22" t="s">
        <v>699</v>
      </c>
      <c r="D16" s="22" t="s">
        <v>703</v>
      </c>
      <c r="E16" s="21"/>
    </row>
    <row r="17" spans="1:5">
      <c r="A17" s="21" t="str">
        <f t="shared" si="0"/>
        <v>Avec finition latérale module</v>
      </c>
      <c r="B17" s="22" t="s">
        <v>133</v>
      </c>
      <c r="C17" s="22" t="s">
        <v>700</v>
      </c>
      <c r="D17" s="22" t="s">
        <v>893</v>
      </c>
      <c r="E17" s="21"/>
    </row>
    <row r="18" spans="1:5">
      <c r="A18" s="21" t="str">
        <f>INDEX(B18:E18,$B$1)</f>
        <v>Définir la puissance du module</v>
      </c>
      <c r="B18" s="22" t="s">
        <v>634</v>
      </c>
      <c r="C18" s="22" t="s">
        <v>21</v>
      </c>
      <c r="D18" s="22" t="s">
        <v>701</v>
      </c>
      <c r="E18" s="21" t="s">
        <v>264</v>
      </c>
    </row>
    <row r="19" spans="1:5">
      <c r="A19" s="21" t="str">
        <f>INDEX(B19:E19,$B$1)</f>
        <v>Nombre de modules</v>
      </c>
      <c r="B19" s="22" t="s">
        <v>450</v>
      </c>
      <c r="C19" s="26" t="s">
        <v>702</v>
      </c>
      <c r="D19" s="26" t="s">
        <v>704</v>
      </c>
      <c r="E19" s="21"/>
    </row>
    <row r="20" spans="1:5">
      <c r="A20" s="24" t="str">
        <f>INDEX(B20:E20,$B$1)</f>
        <v>Puissance par pergola</v>
      </c>
      <c r="B20" s="22" t="s">
        <v>831</v>
      </c>
      <c r="C20" s="26" t="s">
        <v>832</v>
      </c>
      <c r="D20" s="26" t="s">
        <v>833</v>
      </c>
      <c r="E20" s="21" t="s">
        <v>265</v>
      </c>
    </row>
    <row r="21" spans="1:5">
      <c r="A21" s="338" t="str">
        <f t="shared" si="0"/>
        <v>Pergosolar 1</v>
      </c>
      <c r="B21" s="339" t="s">
        <v>425</v>
      </c>
      <c r="C21" s="340" t="s">
        <v>22</v>
      </c>
      <c r="D21" s="340" t="s">
        <v>894</v>
      </c>
      <c r="E21" s="339" t="s">
        <v>257</v>
      </c>
    </row>
    <row r="22" spans="1:5">
      <c r="A22" s="335" t="str">
        <f t="shared" si="0"/>
        <v>Pergosolar 2</v>
      </c>
      <c r="B22" s="339" t="s">
        <v>426</v>
      </c>
      <c r="C22" s="340" t="s">
        <v>23</v>
      </c>
      <c r="D22" s="340" t="s">
        <v>895</v>
      </c>
      <c r="E22" s="339" t="s">
        <v>258</v>
      </c>
    </row>
    <row r="23" spans="1:5">
      <c r="A23" s="335" t="str">
        <f t="shared" si="0"/>
        <v>Pergosolar 3</v>
      </c>
      <c r="B23" s="339" t="s">
        <v>427</v>
      </c>
      <c r="C23" s="340" t="s">
        <v>24</v>
      </c>
      <c r="D23" s="340" t="s">
        <v>896</v>
      </c>
      <c r="E23" s="339" t="s">
        <v>259</v>
      </c>
    </row>
    <row r="24" spans="1:5">
      <c r="A24" s="335" t="str">
        <f t="shared" si="0"/>
        <v>Pergosolar 4</v>
      </c>
      <c r="B24" s="339" t="s">
        <v>428</v>
      </c>
      <c r="C24" s="340" t="s">
        <v>25</v>
      </c>
      <c r="D24" s="340" t="s">
        <v>897</v>
      </c>
      <c r="E24" s="339" t="s">
        <v>260</v>
      </c>
    </row>
    <row r="25" spans="1:5">
      <c r="A25" s="335" t="str">
        <f t="shared" si="0"/>
        <v>Pergosolar 5</v>
      </c>
      <c r="B25" s="339" t="s">
        <v>429</v>
      </c>
      <c r="C25" s="340" t="s">
        <v>26</v>
      </c>
      <c r="D25" s="340" t="s">
        <v>898</v>
      </c>
      <c r="E25" s="339" t="s">
        <v>261</v>
      </c>
    </row>
    <row r="26" spans="1:5">
      <c r="A26" s="335" t="str">
        <f t="shared" si="0"/>
        <v>Pergosolar 6</v>
      </c>
      <c r="B26" s="339" t="s">
        <v>430</v>
      </c>
      <c r="C26" s="340" t="s">
        <v>27</v>
      </c>
      <c r="D26" s="340" t="s">
        <v>899</v>
      </c>
      <c r="E26" s="339" t="s">
        <v>262</v>
      </c>
    </row>
    <row r="27" spans="1:5">
      <c r="A27" s="20" t="str">
        <f t="shared" si="0"/>
        <v>No</v>
      </c>
      <c r="B27" s="20" t="s">
        <v>28</v>
      </c>
      <c r="C27" s="20" t="s">
        <v>28</v>
      </c>
      <c r="D27" s="20" t="s">
        <v>705</v>
      </c>
      <c r="E27" s="20" t="s">
        <v>28</v>
      </c>
    </row>
    <row r="28" spans="1:5">
      <c r="A28" s="20" t="str">
        <f t="shared" si="0"/>
        <v>Yes</v>
      </c>
      <c r="B28" s="20" t="s">
        <v>40</v>
      </c>
      <c r="C28" s="20" t="s">
        <v>39</v>
      </c>
      <c r="D28" s="20" t="s">
        <v>706</v>
      </c>
      <c r="E28" s="20" t="s">
        <v>39</v>
      </c>
    </row>
    <row r="29" spans="1:5">
      <c r="A29" s="20" t="str">
        <f t="shared" si="0"/>
        <v>Nomenclature IRFTS</v>
      </c>
      <c r="B29" s="29" t="s">
        <v>640</v>
      </c>
      <c r="C29" s="29" t="s">
        <v>710</v>
      </c>
      <c r="D29" s="29" t="s">
        <v>707</v>
      </c>
      <c r="E29" s="20" t="s">
        <v>271</v>
      </c>
    </row>
    <row r="30" spans="1:5">
      <c r="A30" s="20" t="str">
        <f t="shared" si="0"/>
        <v>Nomenclature XXX</v>
      </c>
      <c r="B30" s="29" t="s">
        <v>641</v>
      </c>
      <c r="C30" s="29" t="s">
        <v>711</v>
      </c>
      <c r="D30" s="363" t="s">
        <v>709</v>
      </c>
      <c r="E30" s="27"/>
    </row>
    <row r="31" spans="1:5">
      <c r="A31" s="25" t="str">
        <f t="shared" si="0"/>
        <v>Référence</v>
      </c>
      <c r="B31" s="21" t="s">
        <v>5</v>
      </c>
      <c r="C31" s="21" t="s">
        <v>29</v>
      </c>
      <c r="D31" s="364" t="s">
        <v>708</v>
      </c>
      <c r="E31" s="27" t="s">
        <v>29</v>
      </c>
    </row>
    <row r="32" spans="1:5">
      <c r="A32" s="25" t="str">
        <f t="shared" si="0"/>
        <v>Référence distributeur</v>
      </c>
      <c r="B32" s="21" t="s">
        <v>637</v>
      </c>
      <c r="C32" s="21" t="s">
        <v>712</v>
      </c>
      <c r="D32" s="364" t="s">
        <v>713</v>
      </c>
      <c r="E32" s="27"/>
    </row>
    <row r="33" spans="1:5">
      <c r="A33" s="25" t="str">
        <f t="shared" si="0"/>
        <v>Désignation</v>
      </c>
      <c r="B33" s="21" t="s">
        <v>4</v>
      </c>
      <c r="C33" s="21" t="s">
        <v>714</v>
      </c>
      <c r="D33" s="364" t="s">
        <v>715</v>
      </c>
      <c r="E33" s="27"/>
    </row>
    <row r="34" spans="1:5">
      <c r="A34" s="25">
        <f t="shared" si="0"/>
        <v>0</v>
      </c>
      <c r="B34" s="21"/>
      <c r="C34" s="21"/>
      <c r="D34" s="364"/>
      <c r="E34" s="27"/>
    </row>
    <row r="35" spans="1:5">
      <c r="A35" s="25" t="str">
        <f t="shared" si="0"/>
        <v>Dimensions colis</v>
      </c>
      <c r="B35" s="21" t="s">
        <v>134</v>
      </c>
      <c r="C35" s="21" t="s">
        <v>30</v>
      </c>
      <c r="D35" s="364" t="s">
        <v>716</v>
      </c>
      <c r="E35" s="27" t="s">
        <v>272</v>
      </c>
    </row>
    <row r="36" spans="1:5">
      <c r="A36" s="25" t="str">
        <f t="shared" si="0"/>
        <v>Poids (Kg)</v>
      </c>
      <c r="B36" s="21" t="s">
        <v>63</v>
      </c>
      <c r="C36" s="21" t="s">
        <v>67</v>
      </c>
      <c r="D36" s="364" t="s">
        <v>717</v>
      </c>
      <c r="E36" s="27" t="s">
        <v>273</v>
      </c>
    </row>
    <row r="37" spans="1:5">
      <c r="A37" s="25" t="str">
        <f t="shared" si="0"/>
        <v>Désignation</v>
      </c>
      <c r="B37" s="21" t="s">
        <v>4</v>
      </c>
      <c r="C37" s="21" t="s">
        <v>31</v>
      </c>
      <c r="D37" s="364" t="s">
        <v>718</v>
      </c>
      <c r="E37" s="27" t="s">
        <v>274</v>
      </c>
    </row>
    <row r="38" spans="1:5">
      <c r="A38" s="25" t="str">
        <f t="shared" si="0"/>
        <v>Qté Total</v>
      </c>
      <c r="B38" s="21" t="s">
        <v>126</v>
      </c>
      <c r="C38" s="21" t="s">
        <v>127</v>
      </c>
      <c r="D38" s="364" t="s">
        <v>719</v>
      </c>
      <c r="E38" s="27" t="s">
        <v>276</v>
      </c>
    </row>
    <row r="39" spans="1:5">
      <c r="A39" s="25" t="str">
        <f t="shared" ref="A39" si="1">INDEX(B39:E39,$B$1)</f>
        <v>Qté /Pergola</v>
      </c>
      <c r="B39" s="21" t="s">
        <v>804</v>
      </c>
      <c r="C39" s="21" t="s">
        <v>834</v>
      </c>
      <c r="D39" s="364" t="s">
        <v>835</v>
      </c>
      <c r="E39" s="27"/>
    </row>
    <row r="40" spans="1:5">
      <c r="A40" s="25" t="str">
        <f t="shared" si="0"/>
        <v>UDV</v>
      </c>
      <c r="B40" s="21" t="s">
        <v>59</v>
      </c>
      <c r="C40" s="21" t="s">
        <v>128</v>
      </c>
      <c r="D40" s="364" t="s">
        <v>720</v>
      </c>
      <c r="E40" s="27" t="s">
        <v>277</v>
      </c>
    </row>
    <row r="41" spans="1:5">
      <c r="A41" s="25" t="str">
        <f t="shared" si="0"/>
        <v>Prix Public unitaire €HT</v>
      </c>
      <c r="B41" s="21" t="s">
        <v>64</v>
      </c>
      <c r="C41" s="21" t="s">
        <v>32</v>
      </c>
      <c r="D41" s="364" t="s">
        <v>721</v>
      </c>
      <c r="E41" s="27" t="s">
        <v>275</v>
      </c>
    </row>
    <row r="42" spans="1:5">
      <c r="A42" s="25" t="str">
        <f t="shared" ref="A42" si="2">INDEX(B42:E42,$B$1)</f>
        <v>Prix Total €HT</v>
      </c>
      <c r="B42" s="21" t="s">
        <v>432</v>
      </c>
      <c r="C42" s="21" t="s">
        <v>841</v>
      </c>
      <c r="D42" s="364" t="s">
        <v>722</v>
      </c>
      <c r="E42" s="27"/>
    </row>
    <row r="43" spans="1:5">
      <c r="A43" s="25" t="str">
        <f t="shared" si="0"/>
        <v>Prix unitaire après remise €HT</v>
      </c>
      <c r="B43" s="21" t="s">
        <v>119</v>
      </c>
      <c r="C43" s="21" t="s">
        <v>118</v>
      </c>
      <c r="D43" s="364" t="s">
        <v>723</v>
      </c>
      <c r="E43" s="27" t="s">
        <v>278</v>
      </c>
    </row>
    <row r="44" spans="1:5">
      <c r="A44" s="335" t="str">
        <f>INDEX(B44:E44,$B$1)</f>
        <v>TOIT 2x2 7016</v>
      </c>
      <c r="B44" s="336" t="s">
        <v>420</v>
      </c>
      <c r="C44" s="337" t="s">
        <v>76</v>
      </c>
      <c r="D44" s="337" t="s">
        <v>900</v>
      </c>
      <c r="E44" s="337" t="s">
        <v>279</v>
      </c>
    </row>
    <row r="45" spans="1:5">
      <c r="A45" s="335" t="str">
        <f t="shared" si="0"/>
        <v>TOIT 3x3 7016</v>
      </c>
      <c r="B45" s="336" t="s">
        <v>421</v>
      </c>
      <c r="C45" s="337" t="s">
        <v>77</v>
      </c>
      <c r="D45" s="337" t="s">
        <v>901</v>
      </c>
      <c r="E45" s="337" t="s">
        <v>280</v>
      </c>
    </row>
    <row r="46" spans="1:5">
      <c r="A46" s="335" t="str">
        <f t="shared" si="0"/>
        <v>TOIT 4x2 7016</v>
      </c>
      <c r="B46" s="336" t="s">
        <v>422</v>
      </c>
      <c r="C46" s="337" t="s">
        <v>78</v>
      </c>
      <c r="D46" s="337" t="s">
        <v>902</v>
      </c>
      <c r="E46" s="337" t="s">
        <v>281</v>
      </c>
    </row>
    <row r="47" spans="1:5">
      <c r="A47" s="335" t="str">
        <f t="shared" si="0"/>
        <v>TOIT 4x3 7016</v>
      </c>
      <c r="B47" s="336" t="s">
        <v>423</v>
      </c>
      <c r="C47" s="337" t="s">
        <v>79</v>
      </c>
      <c r="D47" s="337" t="s">
        <v>903</v>
      </c>
      <c r="E47" s="337" t="s">
        <v>282</v>
      </c>
    </row>
    <row r="48" spans="1:5">
      <c r="A48" s="335" t="str">
        <f t="shared" si="0"/>
        <v>TOIT 2x2 60c6p 7016 (Module 1655-1685)</v>
      </c>
      <c r="B48" s="336" t="s">
        <v>94</v>
      </c>
      <c r="C48" s="337" t="s">
        <v>98</v>
      </c>
      <c r="D48" s="337" t="s">
        <v>904</v>
      </c>
      <c r="E48" s="337" t="s">
        <v>283</v>
      </c>
    </row>
    <row r="49" spans="1:6">
      <c r="A49" s="335" t="str">
        <f t="shared" si="0"/>
        <v>TOIT 3x3 60c6p 7016 (Module 1655-1685)</v>
      </c>
      <c r="B49" s="336" t="s">
        <v>95</v>
      </c>
      <c r="C49" s="337" t="s">
        <v>99</v>
      </c>
      <c r="D49" s="337" t="s">
        <v>905</v>
      </c>
      <c r="E49" s="337" t="s">
        <v>284</v>
      </c>
    </row>
    <row r="50" spans="1:6">
      <c r="A50" s="335" t="str">
        <f t="shared" si="0"/>
        <v>TOIT 4x2 60c6p 7016 (Module 1655-1685)</v>
      </c>
      <c r="B50" s="336" t="s">
        <v>96</v>
      </c>
      <c r="C50" s="337" t="s">
        <v>100</v>
      </c>
      <c r="D50" s="337" t="s">
        <v>906</v>
      </c>
      <c r="E50" s="337" t="s">
        <v>285</v>
      </c>
    </row>
    <row r="51" spans="1:6">
      <c r="A51" s="335" t="str">
        <f t="shared" si="0"/>
        <v>TOIT 4x3 60c6p 7016 (Module 1655-1685)</v>
      </c>
      <c r="B51" s="336" t="s">
        <v>97</v>
      </c>
      <c r="C51" s="337" t="s">
        <v>101</v>
      </c>
      <c r="D51" s="337" t="s">
        <v>907</v>
      </c>
      <c r="E51" s="337" t="s">
        <v>286</v>
      </c>
    </row>
    <row r="52" spans="1:6">
      <c r="A52" s="335" t="str">
        <f t="shared" si="0"/>
        <v>PIEDS (lot de 2) 2400 7016</v>
      </c>
      <c r="B52" s="336" t="s">
        <v>7</v>
      </c>
      <c r="C52" s="336" t="s">
        <v>33</v>
      </c>
      <c r="D52" s="336" t="s">
        <v>908</v>
      </c>
      <c r="E52" s="336" t="s">
        <v>287</v>
      </c>
    </row>
    <row r="53" spans="1:6">
      <c r="A53" s="335" t="str">
        <f t="shared" si="0"/>
        <v>FINITION LAT. A LIGNE AV+AR 7016</v>
      </c>
      <c r="B53" s="336" t="s">
        <v>10</v>
      </c>
      <c r="C53" s="336" t="s">
        <v>51</v>
      </c>
      <c r="D53" s="365" t="s">
        <v>909</v>
      </c>
      <c r="E53" s="350"/>
    </row>
    <row r="54" spans="1:6">
      <c r="A54" s="335" t="str">
        <f t="shared" si="0"/>
        <v>FINITION LAT. A +1 LIGNE 7016</v>
      </c>
      <c r="B54" s="336" t="s">
        <v>8</v>
      </c>
      <c r="C54" s="336" t="s">
        <v>52</v>
      </c>
      <c r="D54" s="365" t="s">
        <v>910</v>
      </c>
      <c r="E54" s="350"/>
    </row>
    <row r="55" spans="1:6">
      <c r="A55" s="335" t="str">
        <f t="shared" si="0"/>
        <v>OPTION COULEUR</v>
      </c>
      <c r="B55" s="336" t="s">
        <v>38</v>
      </c>
      <c r="C55" s="336" t="s">
        <v>53</v>
      </c>
      <c r="D55" s="365" t="s">
        <v>911</v>
      </c>
      <c r="E55" s="350" t="s">
        <v>288</v>
      </c>
    </row>
    <row r="56" spans="1:6">
      <c r="A56" s="25" t="str">
        <f t="shared" ref="A56:A57" si="3">INDEX(B56:F56,$B$1)</f>
        <v>Prix Public par pergola €HT</v>
      </c>
      <c r="B56" s="21" t="s">
        <v>824</v>
      </c>
      <c r="C56" s="21" t="s">
        <v>817</v>
      </c>
      <c r="D56" s="364" t="s">
        <v>912</v>
      </c>
      <c r="E56" s="27" t="s">
        <v>298</v>
      </c>
      <c r="F56" s="27"/>
    </row>
    <row r="57" spans="1:6">
      <c r="A57" s="25" t="str">
        <f t="shared" si="3"/>
        <v>Prix par pergola après remise €HT</v>
      </c>
      <c r="B57" s="21" t="s">
        <v>825</v>
      </c>
      <c r="C57" s="21" t="s">
        <v>818</v>
      </c>
      <c r="D57" s="364" t="s">
        <v>819</v>
      </c>
      <c r="E57" s="27" t="s">
        <v>299</v>
      </c>
      <c r="F57" s="27"/>
    </row>
    <row r="58" spans="1:6">
      <c r="A58" s="25" t="str">
        <f t="shared" si="0"/>
        <v>Remise client</v>
      </c>
      <c r="B58" s="21" t="s">
        <v>3</v>
      </c>
      <c r="C58" s="21" t="s">
        <v>34</v>
      </c>
      <c r="D58" s="364" t="s">
        <v>724</v>
      </c>
      <c r="E58" s="27" t="s">
        <v>300</v>
      </c>
    </row>
    <row r="59" spans="1:6">
      <c r="A59" s="335" t="str">
        <f t="shared" si="0"/>
        <v>* Ceci est une estimation (en cours de validation)</v>
      </c>
      <c r="B59" s="337" t="s">
        <v>6</v>
      </c>
      <c r="C59" s="337" t="s">
        <v>36</v>
      </c>
      <c r="D59" s="366" t="s">
        <v>1034</v>
      </c>
      <c r="E59" s="350"/>
    </row>
    <row r="60" spans="1:6">
      <c r="A60" s="339" t="str">
        <f>INDEX(B60:E60,$B$1)</f>
        <v>Pour information : Les références de toiture sont gerbables jusqu'à 7 éléments.</v>
      </c>
      <c r="B60" s="337" t="s">
        <v>457</v>
      </c>
      <c r="C60" s="337" t="s">
        <v>37</v>
      </c>
      <c r="D60" s="337" t="s">
        <v>913</v>
      </c>
      <c r="E60" s="339" t="s">
        <v>306</v>
      </c>
    </row>
    <row r="61" spans="1:6">
      <c r="A61" s="20" t="str">
        <f t="shared" si="0"/>
        <v>Option sous-face</v>
      </c>
      <c r="B61" s="20" t="s">
        <v>239</v>
      </c>
      <c r="C61" s="20" t="s">
        <v>120</v>
      </c>
      <c r="D61" s="20" t="s">
        <v>1035</v>
      </c>
      <c r="E61" s="20"/>
    </row>
    <row r="62" spans="1:6">
      <c r="A62" s="339" t="str">
        <f t="shared" si="0"/>
        <v>* : Attention : La pose de la sous-face impose obligatoirement la finition latérale module</v>
      </c>
      <c r="B62" s="339" t="s">
        <v>135</v>
      </c>
      <c r="C62" s="339" t="s">
        <v>121</v>
      </c>
      <c r="D62" s="339" t="s">
        <v>914</v>
      </c>
      <c r="E62" s="339"/>
    </row>
    <row r="63" spans="1:6">
      <c r="A63" s="339" t="str">
        <f t="shared" si="0"/>
        <v>Les plaques polycarbonates seront livrées (Quantité respectant nos UDV).</v>
      </c>
      <c r="B63" s="339" t="s">
        <v>60</v>
      </c>
      <c r="C63" s="351" t="s">
        <v>125</v>
      </c>
      <c r="D63" s="351" t="s">
        <v>1036</v>
      </c>
      <c r="E63" s="339" t="s">
        <v>307</v>
      </c>
    </row>
    <row r="64" spans="1:6">
      <c r="A64" s="20" t="str">
        <f t="shared" si="0"/>
        <v>Poids (Kg)</v>
      </c>
      <c r="B64" s="28" t="s">
        <v>63</v>
      </c>
      <c r="C64" s="20" t="s">
        <v>67</v>
      </c>
      <c r="D64" s="20" t="s">
        <v>717</v>
      </c>
      <c r="E64" s="20" t="s">
        <v>301</v>
      </c>
    </row>
    <row r="65" spans="1:5">
      <c r="A65" s="20" t="str">
        <f t="shared" si="0"/>
        <v>Listing des ombrières en commande :</v>
      </c>
      <c r="B65" s="28" t="s">
        <v>136</v>
      </c>
      <c r="C65" s="21" t="s">
        <v>123</v>
      </c>
      <c r="D65" s="21" t="s">
        <v>725</v>
      </c>
      <c r="E65" s="20" t="s">
        <v>308</v>
      </c>
    </row>
    <row r="66" spans="1:5">
      <c r="A66" s="20" t="str">
        <f t="shared" si="0"/>
        <v xml:space="preserve">Altitude (m) : </v>
      </c>
      <c r="B66" s="20" t="s">
        <v>659</v>
      </c>
      <c r="C66" s="20" t="s">
        <v>726</v>
      </c>
      <c r="D66" s="20" t="s">
        <v>727</v>
      </c>
      <c r="E66" s="20"/>
    </row>
    <row r="67" spans="1:5">
      <c r="A67" s="20" t="str">
        <f t="shared" si="0"/>
        <v xml:space="preserve">Catégorie de terrain : </v>
      </c>
      <c r="B67" s="20" t="s">
        <v>660</v>
      </c>
      <c r="C67" s="20" t="s">
        <v>728</v>
      </c>
      <c r="D67" s="20" t="s">
        <v>1037</v>
      </c>
      <c r="E67" s="20"/>
    </row>
    <row r="68" spans="1:5">
      <c r="A68" s="20" t="str">
        <f t="shared" si="0"/>
        <v xml:space="preserve">Zone de neige : </v>
      </c>
      <c r="B68" s="20" t="s">
        <v>661</v>
      </c>
      <c r="C68" s="20" t="s">
        <v>731</v>
      </c>
      <c r="D68" s="20" t="s">
        <v>733</v>
      </c>
      <c r="E68" s="20"/>
    </row>
    <row r="69" spans="1:5">
      <c r="A69" s="20" t="str">
        <f t="shared" si="0"/>
        <v xml:space="preserve">Zone de vent : </v>
      </c>
      <c r="B69" s="20" t="s">
        <v>662</v>
      </c>
      <c r="C69" s="20" t="s">
        <v>732</v>
      </c>
      <c r="D69" s="20" t="s">
        <v>734</v>
      </c>
      <c r="E69" s="20"/>
    </row>
    <row r="70" spans="1:5">
      <c r="A70" s="20" t="str">
        <f t="shared" si="0"/>
        <v xml:space="preserve">Pression de neige (Pa) : </v>
      </c>
      <c r="B70" s="20" t="s">
        <v>663</v>
      </c>
      <c r="C70" s="20" t="s">
        <v>729</v>
      </c>
      <c r="D70" s="20" t="s">
        <v>735</v>
      </c>
      <c r="E70" s="20"/>
    </row>
    <row r="71" spans="1:5">
      <c r="A71" s="20" t="str">
        <f t="shared" si="0"/>
        <v xml:space="preserve">Pression du vent (Pa) : </v>
      </c>
      <c r="B71" s="20" t="s">
        <v>664</v>
      </c>
      <c r="C71" s="20" t="s">
        <v>730</v>
      </c>
      <c r="D71" s="20" t="s">
        <v>736</v>
      </c>
      <c r="E71" s="20"/>
    </row>
    <row r="72" spans="1:5">
      <c r="A72" s="20" t="str">
        <f t="shared" si="0"/>
        <v xml:space="preserve">Charges descendantes : </v>
      </c>
      <c r="B72" s="20" t="s">
        <v>658</v>
      </c>
      <c r="C72" s="20" t="s">
        <v>738</v>
      </c>
      <c r="D72" s="20" t="s">
        <v>739</v>
      </c>
      <c r="E72" s="20"/>
    </row>
    <row r="73" spans="1:5">
      <c r="A73" s="20" t="str">
        <f t="shared" si="0"/>
        <v xml:space="preserve">Charges ascendantes : </v>
      </c>
      <c r="B73" s="20" t="s">
        <v>657</v>
      </c>
      <c r="C73" s="20" t="s">
        <v>737</v>
      </c>
      <c r="D73" s="20" t="s">
        <v>740</v>
      </c>
      <c r="E73" s="20"/>
    </row>
    <row r="74" spans="1:5">
      <c r="A74" s="20" t="str">
        <f t="shared" si="0"/>
        <v xml:space="preserve">Format Pergola : </v>
      </c>
      <c r="B74" s="20" t="s">
        <v>665</v>
      </c>
      <c r="C74" s="20" t="s">
        <v>741</v>
      </c>
      <c r="D74" s="20" t="s">
        <v>1038</v>
      </c>
      <c r="E74" s="20"/>
    </row>
    <row r="75" spans="1:5">
      <c r="A75" s="20" t="str">
        <f t="shared" si="0"/>
        <v>Attention : ajouter la chute de neige du toit si nécessaire.</v>
      </c>
      <c r="B75" s="20" t="s">
        <v>666</v>
      </c>
      <c r="C75" s="20" t="s">
        <v>742</v>
      </c>
      <c r="D75" s="20" t="s">
        <v>743</v>
      </c>
      <c r="E75" s="20"/>
    </row>
    <row r="76" spans="1:5">
      <c r="A76" s="25" t="str">
        <f t="shared" si="0"/>
        <v>Charges OK</v>
      </c>
      <c r="B76" s="20" t="s">
        <v>667</v>
      </c>
      <c r="C76" s="20" t="s">
        <v>744</v>
      </c>
      <c r="D76" s="20" t="s">
        <v>745</v>
      </c>
      <c r="E76" s="20"/>
    </row>
    <row r="77" spans="1:5">
      <c r="A77" s="25" t="str">
        <f t="shared" si="0"/>
        <v>Charges trop importantes</v>
      </c>
      <c r="B77" s="20" t="s">
        <v>668</v>
      </c>
      <c r="C77" s="20" t="s">
        <v>746</v>
      </c>
      <c r="D77" s="20" t="s">
        <v>747</v>
      </c>
      <c r="E77" s="20"/>
    </row>
    <row r="78" spans="1:5">
      <c r="A78" s="25" t="str">
        <f t="shared" si="0"/>
        <v>Quantité totale de Screen</v>
      </c>
      <c r="B78" s="20" t="s">
        <v>805</v>
      </c>
      <c r="C78" s="20" t="s">
        <v>748</v>
      </c>
      <c r="D78" s="20" t="s">
        <v>1039</v>
      </c>
      <c r="E78" s="20"/>
    </row>
    <row r="79" spans="1:5">
      <c r="A79" s="25" t="str">
        <f t="shared" si="0"/>
        <v>Livraison sur chantier</v>
      </c>
      <c r="B79" s="20" t="s">
        <v>830</v>
      </c>
      <c r="C79" s="20" t="s">
        <v>842</v>
      </c>
      <c r="D79" s="20" t="s">
        <v>1040</v>
      </c>
      <c r="E79" s="20"/>
    </row>
    <row r="80" spans="1:5">
      <c r="A80" s="25" t="str">
        <f t="shared" si="0"/>
        <v>TOIT 2x2 60c6p 9010 (Module 1635-1676)</v>
      </c>
      <c r="B80" s="336" t="s">
        <v>68</v>
      </c>
      <c r="C80" s="337" t="s">
        <v>80</v>
      </c>
      <c r="D80" s="337" t="s">
        <v>915</v>
      </c>
      <c r="E80" s="337" t="s">
        <v>289</v>
      </c>
    </row>
    <row r="81" spans="1:5">
      <c r="A81" s="25" t="str">
        <f t="shared" si="0"/>
        <v>TOIT 3x3 60c6p 9010 (Module 1635-1676)</v>
      </c>
      <c r="B81" s="336" t="s">
        <v>69</v>
      </c>
      <c r="C81" s="337" t="s">
        <v>81</v>
      </c>
      <c r="D81" s="337" t="s">
        <v>916</v>
      </c>
      <c r="E81" s="337" t="s">
        <v>290</v>
      </c>
    </row>
    <row r="82" spans="1:5">
      <c r="A82" s="25" t="str">
        <f t="shared" si="0"/>
        <v>TOIT 4x2 60c6p 9010 (Module 1635-1676)</v>
      </c>
      <c r="B82" s="336" t="s">
        <v>70</v>
      </c>
      <c r="C82" s="337" t="s">
        <v>82</v>
      </c>
      <c r="D82" s="337" t="s">
        <v>917</v>
      </c>
      <c r="E82" s="337" t="s">
        <v>291</v>
      </c>
    </row>
    <row r="83" spans="1:5">
      <c r="A83" s="25" t="str">
        <f t="shared" si="0"/>
        <v>TOIT 4x3 60c6p 9010 (Module 1635-1676)</v>
      </c>
      <c r="B83" s="336" t="s">
        <v>71</v>
      </c>
      <c r="C83" s="337" t="s">
        <v>83</v>
      </c>
      <c r="D83" s="337" t="s">
        <v>918</v>
      </c>
      <c r="E83" s="337" t="s">
        <v>292</v>
      </c>
    </row>
    <row r="84" spans="1:5">
      <c r="A84" s="25" t="str">
        <f t="shared" si="0"/>
        <v>TOIT 2x2 60c6p 9010 (Module 1655-1685)</v>
      </c>
      <c r="B84" s="336" t="s">
        <v>102</v>
      </c>
      <c r="C84" s="337" t="s">
        <v>106</v>
      </c>
      <c r="D84" s="337" t="s">
        <v>919</v>
      </c>
      <c r="E84" s="337" t="s">
        <v>293</v>
      </c>
    </row>
    <row r="85" spans="1:5">
      <c r="A85" s="25" t="str">
        <f t="shared" si="0"/>
        <v>TOIT 3x3 60c6p 9010 (Module 1655-1685)</v>
      </c>
      <c r="B85" s="336" t="s">
        <v>103</v>
      </c>
      <c r="C85" s="337" t="s">
        <v>107</v>
      </c>
      <c r="D85" s="337" t="s">
        <v>920</v>
      </c>
      <c r="E85" s="337" t="s">
        <v>294</v>
      </c>
    </row>
    <row r="86" spans="1:5">
      <c r="A86" s="25" t="str">
        <f t="shared" si="0"/>
        <v>TOIT 4x2 60c6p 9010 (Module 1655-1685)</v>
      </c>
      <c r="B86" s="336" t="s">
        <v>104</v>
      </c>
      <c r="C86" s="337" t="s">
        <v>108</v>
      </c>
      <c r="D86" s="337" t="s">
        <v>921</v>
      </c>
      <c r="E86" s="337" t="s">
        <v>295</v>
      </c>
    </row>
    <row r="87" spans="1:5">
      <c r="A87" s="25" t="str">
        <f t="shared" si="0"/>
        <v>TOIT 4x3 60c6p 9010 (Module 1655-1685)</v>
      </c>
      <c r="B87" s="336" t="s">
        <v>105</v>
      </c>
      <c r="C87" s="337" t="s">
        <v>109</v>
      </c>
      <c r="D87" s="337" t="s">
        <v>922</v>
      </c>
      <c r="E87" s="337" t="s">
        <v>296</v>
      </c>
    </row>
    <row r="88" spans="1:5">
      <c r="A88" s="25" t="str">
        <f t="shared" ref="A88:A90" si="4">INDEX(B88:E88,$B$1)</f>
        <v>PIEDS (lot de 2) 2400 9010</v>
      </c>
      <c r="B88" s="30" t="s">
        <v>45</v>
      </c>
      <c r="C88" s="30" t="s">
        <v>750</v>
      </c>
      <c r="D88" s="30" t="s">
        <v>749</v>
      </c>
      <c r="E88" s="30" t="s">
        <v>297</v>
      </c>
    </row>
    <row r="89" spans="1:5">
      <c r="A89" s="25" t="str">
        <f t="shared" si="4"/>
        <v>FINITION LAT. A LIGNE AV+AR 9010</v>
      </c>
      <c r="B89" s="30" t="s">
        <v>46</v>
      </c>
      <c r="C89" s="30" t="s">
        <v>54</v>
      </c>
      <c r="D89" s="30" t="s">
        <v>751</v>
      </c>
      <c r="E89" s="20"/>
    </row>
    <row r="90" spans="1:5">
      <c r="A90" s="25" t="str">
        <f t="shared" si="4"/>
        <v>FINITION LAT. A +1 LIGNE 9010</v>
      </c>
      <c r="B90" s="30" t="s">
        <v>47</v>
      </c>
      <c r="C90" s="30" t="s">
        <v>55</v>
      </c>
      <c r="D90" s="30" t="s">
        <v>923</v>
      </c>
      <c r="E90" s="20"/>
    </row>
    <row r="91" spans="1:5">
      <c r="A91" s="20" t="str">
        <f t="shared" si="0"/>
        <v>Pieds</v>
      </c>
      <c r="B91" s="20" t="s">
        <v>89</v>
      </c>
      <c r="C91" s="20" t="s">
        <v>90</v>
      </c>
      <c r="D91" s="20" t="s">
        <v>752</v>
      </c>
      <c r="E91" s="20"/>
    </row>
    <row r="92" spans="1:5">
      <c r="A92" s="20" t="str">
        <f t="shared" si="0"/>
        <v>Sans finition latérale module</v>
      </c>
      <c r="B92" s="22" t="s">
        <v>137</v>
      </c>
      <c r="C92" s="22" t="s">
        <v>91</v>
      </c>
      <c r="D92" s="22" t="s">
        <v>924</v>
      </c>
      <c r="E92" s="20"/>
    </row>
    <row r="93" spans="1:5">
      <c r="A93" s="20" t="str">
        <f t="shared" si="0"/>
        <v>Avec Sous-face</v>
      </c>
      <c r="B93" s="20" t="s">
        <v>92</v>
      </c>
      <c r="C93" s="20" t="s">
        <v>122</v>
      </c>
      <c r="D93" s="20" t="s">
        <v>753</v>
      </c>
      <c r="E93" s="20"/>
    </row>
    <row r="94" spans="1:5">
      <c r="A94" s="20" t="str">
        <f t="shared" si="0"/>
        <v>Sans Sous-face</v>
      </c>
      <c r="B94" s="20" t="s">
        <v>93</v>
      </c>
      <c r="C94" s="20" t="s">
        <v>124</v>
      </c>
      <c r="D94" s="20" t="s">
        <v>754</v>
      </c>
      <c r="E94" s="20"/>
    </row>
    <row r="95" spans="1:5">
      <c r="A95" s="339" t="str">
        <f t="shared" si="0"/>
        <v>TOIT 2x2 60c6p XXXX (Module 1635-1676)</v>
      </c>
      <c r="B95" s="336" t="s">
        <v>72</v>
      </c>
      <c r="C95" s="337" t="s">
        <v>84</v>
      </c>
      <c r="D95" s="337" t="s">
        <v>925</v>
      </c>
      <c r="E95" s="337" t="s">
        <v>309</v>
      </c>
    </row>
    <row r="96" spans="1:5">
      <c r="A96" s="339" t="str">
        <f t="shared" si="0"/>
        <v>TOIT 3x3 60c6p XXXX (Module 1635-1676)</v>
      </c>
      <c r="B96" s="336" t="s">
        <v>73</v>
      </c>
      <c r="C96" s="337" t="s">
        <v>85</v>
      </c>
      <c r="D96" s="337" t="s">
        <v>926</v>
      </c>
      <c r="E96" s="337" t="s">
        <v>310</v>
      </c>
    </row>
    <row r="97" spans="1:5">
      <c r="A97" s="339" t="str">
        <f t="shared" si="0"/>
        <v>TOIT 4x2 60c6p XXXX (Module 1635-1676)</v>
      </c>
      <c r="B97" s="336" t="s">
        <v>74</v>
      </c>
      <c r="C97" s="337" t="s">
        <v>86</v>
      </c>
      <c r="D97" s="337" t="s">
        <v>927</v>
      </c>
      <c r="E97" s="337" t="s">
        <v>311</v>
      </c>
    </row>
    <row r="98" spans="1:5">
      <c r="A98" s="339" t="str">
        <f t="shared" si="0"/>
        <v>TOIT 4x3 60c6p XXXX (Module 1635-1676)</v>
      </c>
      <c r="B98" s="336" t="s">
        <v>75</v>
      </c>
      <c r="C98" s="337" t="s">
        <v>87</v>
      </c>
      <c r="D98" s="337" t="s">
        <v>928</v>
      </c>
      <c r="E98" s="337" t="s">
        <v>312</v>
      </c>
    </row>
    <row r="99" spans="1:5">
      <c r="A99" s="339" t="str">
        <f t="shared" si="0"/>
        <v>TOIT 2x2 60c6p XXXX (Module 1655-1685)</v>
      </c>
      <c r="B99" s="336" t="s">
        <v>110</v>
      </c>
      <c r="C99" s="337" t="s">
        <v>114</v>
      </c>
      <c r="D99" s="337" t="s">
        <v>929</v>
      </c>
      <c r="E99" s="337" t="s">
        <v>313</v>
      </c>
    </row>
    <row r="100" spans="1:5">
      <c r="A100" s="339" t="str">
        <f t="shared" si="0"/>
        <v>TOIT 3x3 60c6p XXXX (Module 1655-1685)</v>
      </c>
      <c r="B100" s="336" t="s">
        <v>111</v>
      </c>
      <c r="C100" s="337" t="s">
        <v>115</v>
      </c>
      <c r="D100" s="337" t="s">
        <v>930</v>
      </c>
      <c r="E100" s="337" t="s">
        <v>314</v>
      </c>
    </row>
    <row r="101" spans="1:5">
      <c r="A101" s="339" t="str">
        <f t="shared" si="0"/>
        <v>TOIT 4x2 60c6p XXXX (Module 1655-1685)</v>
      </c>
      <c r="B101" s="336" t="s">
        <v>112</v>
      </c>
      <c r="C101" s="337" t="s">
        <v>116</v>
      </c>
      <c r="D101" s="337" t="s">
        <v>931</v>
      </c>
      <c r="E101" s="337" t="s">
        <v>315</v>
      </c>
    </row>
    <row r="102" spans="1:5">
      <c r="A102" s="339" t="str">
        <f t="shared" si="0"/>
        <v>TOIT 4x3 60c6p XXXX (Module 1655-1685)</v>
      </c>
      <c r="B102" s="336" t="s">
        <v>113</v>
      </c>
      <c r="C102" s="337" t="s">
        <v>117</v>
      </c>
      <c r="D102" s="337" t="s">
        <v>932</v>
      </c>
      <c r="E102" s="337" t="s">
        <v>316</v>
      </c>
    </row>
    <row r="103" spans="1:5">
      <c r="A103" s="339" t="str">
        <f t="shared" si="0"/>
        <v>PIEDS (lot de 2) 2400 XXXX</v>
      </c>
      <c r="B103" s="336" t="s">
        <v>48</v>
      </c>
      <c r="C103" s="336" t="s">
        <v>88</v>
      </c>
      <c r="D103" s="336" t="s">
        <v>933</v>
      </c>
      <c r="E103" s="336" t="s">
        <v>317</v>
      </c>
    </row>
    <row r="104" spans="1:5">
      <c r="A104" s="339" t="str">
        <f t="shared" si="0"/>
        <v>FINITION LAT. A LIGNE AV+AR XXXX</v>
      </c>
      <c r="B104" s="336" t="s">
        <v>49</v>
      </c>
      <c r="C104" s="336" t="s">
        <v>56</v>
      </c>
      <c r="D104" s="336" t="s">
        <v>934</v>
      </c>
      <c r="E104" s="339"/>
    </row>
    <row r="105" spans="1:5">
      <c r="A105" s="339" t="str">
        <f t="shared" si="0"/>
        <v>FINITION LAT. A +1 LIGNE XXXX</v>
      </c>
      <c r="B105" s="336" t="s">
        <v>50</v>
      </c>
      <c r="C105" s="336" t="s">
        <v>57</v>
      </c>
      <c r="D105" s="336" t="s">
        <v>935</v>
      </c>
      <c r="E105" s="339"/>
    </row>
    <row r="106" spans="1:5">
      <c r="A106" s="20" t="str">
        <f t="shared" si="0"/>
        <v>Compléter la liste de vos pièces</v>
      </c>
      <c r="B106" s="30" t="s">
        <v>806</v>
      </c>
      <c r="C106" s="30" t="s">
        <v>843</v>
      </c>
      <c r="D106" s="30" t="s">
        <v>936</v>
      </c>
      <c r="E106" s="20"/>
    </row>
    <row r="107" spans="1:5">
      <c r="A107" s="20" t="str">
        <f t="shared" si="0"/>
        <v>Liste de pièces IRFTS en gras</v>
      </c>
      <c r="B107" s="30" t="s">
        <v>653</v>
      </c>
      <c r="C107" s="30" t="s">
        <v>844</v>
      </c>
      <c r="D107" s="30" t="s">
        <v>937</v>
      </c>
      <c r="E107" s="20"/>
    </row>
    <row r="108" spans="1:5">
      <c r="A108" s="20" t="str">
        <f t="shared" si="0"/>
        <v>Vérifier que les charges sur la Pergola sont correctes</v>
      </c>
      <c r="B108" s="30" t="s">
        <v>690</v>
      </c>
      <c r="C108" s="30" t="s">
        <v>845</v>
      </c>
      <c r="D108" s="30" t="s">
        <v>938</v>
      </c>
      <c r="E108" s="20"/>
    </row>
    <row r="109" spans="1:5">
      <c r="A109" s="20" t="str">
        <f t="shared" si="0"/>
        <v>Répondre aux questions des cases en jaune</v>
      </c>
      <c r="B109" s="20" t="s">
        <v>652</v>
      </c>
      <c r="C109" s="20" t="s">
        <v>846</v>
      </c>
      <c r="D109" s="20" t="s">
        <v>1041</v>
      </c>
      <c r="E109" s="20"/>
    </row>
    <row r="110" spans="1:5">
      <c r="A110" s="20" t="str">
        <f t="shared" si="0"/>
        <v>XXXX = Code Couleur</v>
      </c>
      <c r="B110" s="20" t="s">
        <v>44</v>
      </c>
      <c r="C110" s="20" t="s">
        <v>58</v>
      </c>
      <c r="D110" s="20" t="s">
        <v>939</v>
      </c>
      <c r="E110" s="20" t="s">
        <v>318</v>
      </c>
    </row>
    <row r="111" spans="1:5">
      <c r="A111" s="20" t="str">
        <f t="shared" si="0"/>
        <v>Choix couleur Standard RAL</v>
      </c>
      <c r="B111" s="20" t="s">
        <v>624</v>
      </c>
      <c r="C111" s="20" t="s">
        <v>847</v>
      </c>
      <c r="D111" s="20" t="s">
        <v>940</v>
      </c>
      <c r="E111" s="20" t="s">
        <v>319</v>
      </c>
    </row>
    <row r="112" spans="1:5">
      <c r="A112" s="20" t="str">
        <f t="shared" ref="A112:A193" si="5">INDEX(B112:E112,$B$1)</f>
        <v>Choix autre couleur</v>
      </c>
      <c r="B112" s="20" t="s">
        <v>43</v>
      </c>
      <c r="C112" s="20" t="s">
        <v>848</v>
      </c>
      <c r="D112" s="20" t="s">
        <v>941</v>
      </c>
      <c r="E112" s="20" t="s">
        <v>320</v>
      </c>
    </row>
    <row r="113" spans="1:5">
      <c r="A113" s="20" t="str">
        <f t="shared" si="5"/>
        <v>Total commande €HT</v>
      </c>
      <c r="B113" s="20" t="s">
        <v>820</v>
      </c>
      <c r="C113" s="20" t="s">
        <v>821</v>
      </c>
      <c r="D113" s="20" t="s">
        <v>942</v>
      </c>
      <c r="E113" s="20" t="s">
        <v>321</v>
      </c>
    </row>
    <row r="114" spans="1:5">
      <c r="A114" s="20" t="str">
        <f t="shared" si="5"/>
        <v>POLYCARBONATE OMBRIERE 2 COLONNES</v>
      </c>
      <c r="B114" s="20" t="s">
        <v>61</v>
      </c>
      <c r="C114" t="s">
        <v>65</v>
      </c>
      <c r="D114" t="s">
        <v>943</v>
      </c>
      <c r="E114" s="20" t="s">
        <v>322</v>
      </c>
    </row>
    <row r="115" spans="1:5">
      <c r="A115" s="20" t="str">
        <f t="shared" si="5"/>
        <v>POLYCARBONATE OMBRIERE 1,5 COLONNES</v>
      </c>
      <c r="B115" s="20" t="s">
        <v>62</v>
      </c>
      <c r="C115" t="s">
        <v>66</v>
      </c>
      <c r="D115" t="s">
        <v>944</v>
      </c>
      <c r="E115" s="20" t="s">
        <v>323</v>
      </c>
    </row>
    <row r="116" spans="1:5">
      <c r="A116" s="20" t="str">
        <f t="shared" si="5"/>
        <v>KIT VISSERIE OMBRIERE BLANC</v>
      </c>
      <c r="B116" s="20" t="s">
        <v>155</v>
      </c>
      <c r="C116" s="20" t="s">
        <v>153</v>
      </c>
      <c r="D116" s="20" t="s">
        <v>945</v>
      </c>
      <c r="E116" s="20" t="s">
        <v>324</v>
      </c>
    </row>
    <row r="117" spans="1:5">
      <c r="A117" s="20" t="str">
        <f t="shared" si="5"/>
        <v>KIT VISSERIE OMBRIERE NOIR</v>
      </c>
      <c r="B117" s="20" t="s">
        <v>152</v>
      </c>
      <c r="C117" s="20" t="s">
        <v>154</v>
      </c>
      <c r="D117" s="20" t="s">
        <v>946</v>
      </c>
      <c r="E117" s="20" t="s">
        <v>325</v>
      </c>
    </row>
    <row r="118" spans="1:5">
      <c r="A118" s="20" t="str">
        <f t="shared" si="5"/>
        <v>KIT 2 EMBASE PIEDS OMBRIERE</v>
      </c>
      <c r="B118" s="20" t="s">
        <v>144</v>
      </c>
      <c r="C118" s="20" t="s">
        <v>140</v>
      </c>
      <c r="D118" s="20" t="s">
        <v>947</v>
      </c>
      <c r="E118" s="20" t="s">
        <v>326</v>
      </c>
    </row>
    <row r="119" spans="1:5">
      <c r="A119" s="20" t="str">
        <f t="shared" si="5"/>
        <v>KIT LED TELECOMMANDE 9.6W/M BLANC NEUTRE 2x5M</v>
      </c>
      <c r="B119" s="20" t="s">
        <v>138</v>
      </c>
      <c r="C119" s="20" t="s">
        <v>141</v>
      </c>
      <c r="D119" s="20" t="s">
        <v>948</v>
      </c>
      <c r="E119" s="20" t="s">
        <v>327</v>
      </c>
    </row>
    <row r="120" spans="1:5">
      <c r="A120" s="20" t="str">
        <f t="shared" si="5"/>
        <v>Choix du module photovoltaïque</v>
      </c>
      <c r="B120" s="20" t="s">
        <v>635</v>
      </c>
      <c r="C120" s="20" t="s">
        <v>849</v>
      </c>
      <c r="D120" s="20" t="s">
        <v>949</v>
      </c>
      <c r="E120" s="20"/>
    </row>
    <row r="121" spans="1:5">
      <c r="A121" s="20" t="str">
        <f t="shared" si="5"/>
        <v>Choix de l'onduleur</v>
      </c>
      <c r="B121" s="20" t="s">
        <v>636</v>
      </c>
      <c r="C121" s="20" t="s">
        <v>850</v>
      </c>
      <c r="D121" s="20" t="s">
        <v>950</v>
      </c>
      <c r="E121" s="20"/>
    </row>
    <row r="122" spans="1:5">
      <c r="A122" s="20" t="str">
        <f t="shared" si="5"/>
        <v>JOINT POUR ASSEMBLAGE OMBRIERES 12m</v>
      </c>
      <c r="B122" s="20" t="s">
        <v>142</v>
      </c>
      <c r="C122" s="20" t="s">
        <v>147</v>
      </c>
      <c r="D122" s="20" t="s">
        <v>1042</v>
      </c>
      <c r="E122" s="20" t="s">
        <v>328</v>
      </c>
    </row>
    <row r="123" spans="1:5">
      <c r="A123" s="20" t="str">
        <f t="shared" si="5"/>
        <v>LOT DE 4 ECLISSES DE BANDEAU</v>
      </c>
      <c r="B123" s="20" t="s">
        <v>392</v>
      </c>
      <c r="C123" s="20" t="s">
        <v>393</v>
      </c>
      <c r="D123" s="20" t="s">
        <v>951</v>
      </c>
      <c r="E123" s="20"/>
    </row>
    <row r="124" spans="1:5">
      <c r="A124" s="20" t="str">
        <f t="shared" si="5"/>
        <v>Option embases Pieds</v>
      </c>
      <c r="B124" s="20" t="s">
        <v>619</v>
      </c>
      <c r="C124" s="20" t="s">
        <v>859</v>
      </c>
      <c r="D124" s="20" t="s">
        <v>952</v>
      </c>
      <c r="E124" s="20" t="s">
        <v>329</v>
      </c>
    </row>
    <row r="125" spans="1:5">
      <c r="A125" s="20" t="str">
        <f t="shared" si="5"/>
        <v>option kit Led en ruban + ALIM+recepteur + telecommande</v>
      </c>
      <c r="B125" s="87" t="s">
        <v>691</v>
      </c>
      <c r="C125" s="20" t="s">
        <v>143</v>
      </c>
      <c r="D125" s="20" t="s">
        <v>953</v>
      </c>
      <c r="E125" s="20" t="s">
        <v>330</v>
      </c>
    </row>
    <row r="126" spans="1:5" ht="15" customHeight="1">
      <c r="A126" s="20" t="str">
        <f t="shared" si="5"/>
        <v>Option Bioclimatique</v>
      </c>
      <c r="B126" s="20" t="s">
        <v>431</v>
      </c>
      <c r="C126" s="20"/>
      <c r="D126" s="20"/>
      <c r="E126" s="20"/>
    </row>
    <row r="127" spans="1:5" ht="15" customHeight="1">
      <c r="A127" s="20" t="str">
        <f t="shared" ref="A127" si="6">INDEX(B127:E127,$B$1)</f>
        <v>Nombre de lignes option bioclimatique</v>
      </c>
      <c r="B127" s="20" t="s">
        <v>807</v>
      </c>
      <c r="C127" s="20"/>
      <c r="D127" s="20"/>
      <c r="E127" s="20"/>
    </row>
    <row r="128" spans="1:5" ht="15" customHeight="1">
      <c r="A128" s="20" t="str">
        <f t="shared" si="5"/>
        <v>Choix couleur bioclimatique</v>
      </c>
      <c r="B128" s="20" t="s">
        <v>424</v>
      </c>
      <c r="C128" s="20"/>
      <c r="D128" s="20"/>
      <c r="E128" s="20"/>
    </row>
    <row r="129" spans="1:5" ht="15" customHeight="1">
      <c r="A129" s="20" t="str">
        <f t="shared" si="5"/>
        <v>kit de fixation de sous face</v>
      </c>
      <c r="B129" s="88" t="s">
        <v>656</v>
      </c>
      <c r="C129" s="20" t="s">
        <v>851</v>
      </c>
      <c r="D129" s="20" t="s">
        <v>954</v>
      </c>
      <c r="E129" s="20"/>
    </row>
    <row r="130" spans="1:5" ht="15" customHeight="1">
      <c r="A130" s="20" t="str">
        <f t="shared" si="5"/>
        <v>kit de déport des pieds + évacuation d'eau  (2 pieds maximum)</v>
      </c>
      <c r="B130" s="88" t="s">
        <v>669</v>
      </c>
      <c r="C130" s="20"/>
      <c r="D130" s="20"/>
      <c r="E130" s="20"/>
    </row>
    <row r="131" spans="1:5" ht="15" customHeight="1">
      <c r="A131" s="86" t="str">
        <f>INDEX(B131:E131,$B$1)</f>
        <v>Nombre de ligne(s) de panneaux photovoltaiques</v>
      </c>
      <c r="B131" s="89" t="s">
        <v>789</v>
      </c>
      <c r="C131" s="20" t="s">
        <v>852</v>
      </c>
      <c r="D131" s="20" t="s">
        <v>955</v>
      </c>
      <c r="E131" s="20"/>
    </row>
    <row r="132" spans="1:5" ht="15" customHeight="1">
      <c r="A132" s="86" t="str">
        <f t="shared" ref="A132:A139" si="7">INDEX(B132:E132,$B$1)</f>
        <v>option kit Led : 4 spots  + alim + récepteur + télécommande</v>
      </c>
      <c r="B132" s="87" t="s">
        <v>594</v>
      </c>
      <c r="C132" s="20" t="s">
        <v>816</v>
      </c>
      <c r="D132" s="20" t="s">
        <v>956</v>
      </c>
      <c r="E132" s="20"/>
    </row>
    <row r="133" spans="1:5" ht="15" customHeight="1">
      <c r="A133" s="86" t="str">
        <f t="shared" si="7"/>
        <v>2 Spots supplémentaires</v>
      </c>
      <c r="B133" s="87" t="s">
        <v>788</v>
      </c>
      <c r="C133" s="20" t="s">
        <v>814</v>
      </c>
      <c r="D133" s="20" t="s">
        <v>815</v>
      </c>
      <c r="E133" s="20"/>
    </row>
    <row r="134" spans="1:5" ht="15" customHeight="1">
      <c r="A134" s="86" t="str">
        <f t="shared" si="7"/>
        <v>Option Screen latéral</v>
      </c>
      <c r="B134" s="87" t="s">
        <v>595</v>
      </c>
      <c r="C134" s="20"/>
      <c r="D134" s="20"/>
      <c r="E134" s="20"/>
    </row>
    <row r="135" spans="1:5" ht="15" customHeight="1">
      <c r="A135" s="86" t="str">
        <f t="shared" si="7"/>
        <v>Option Screen avant ou arrièrre</v>
      </c>
      <c r="B135" s="87" t="s">
        <v>596</v>
      </c>
      <c r="C135" s="20"/>
      <c r="D135" s="20"/>
      <c r="E135" s="20"/>
    </row>
    <row r="136" spans="1:5" ht="15" customHeight="1">
      <c r="A136" s="86" t="str">
        <f t="shared" si="7"/>
        <v>Nombre de Screen latéral</v>
      </c>
      <c r="B136" s="87" t="s">
        <v>597</v>
      </c>
      <c r="C136" s="20"/>
      <c r="D136" s="20"/>
      <c r="E136" s="20"/>
    </row>
    <row r="137" spans="1:5" ht="15" customHeight="1">
      <c r="A137" s="86" t="str">
        <f t="shared" si="7"/>
        <v>Nombre de Screen avant ou arrièrre</v>
      </c>
      <c r="B137" s="87" t="s">
        <v>598</v>
      </c>
      <c r="C137" s="20"/>
      <c r="D137" s="20"/>
      <c r="E137" s="20"/>
    </row>
    <row r="138" spans="1:5" ht="15" customHeight="1">
      <c r="A138" s="86" t="str">
        <f t="shared" si="7"/>
        <v>Screen(s) latéral(aux)</v>
      </c>
      <c r="B138" s="87" t="s">
        <v>603</v>
      </c>
      <c r="C138" s="20"/>
      <c r="D138" s="20"/>
      <c r="E138" s="20"/>
    </row>
    <row r="139" spans="1:5" ht="15" customHeight="1">
      <c r="A139" s="86" t="str">
        <f t="shared" si="7"/>
        <v>Screen(s) avant ou arrière</v>
      </c>
      <c r="B139" s="87" t="s">
        <v>604</v>
      </c>
      <c r="C139" s="20"/>
      <c r="D139" s="20"/>
      <c r="E139" s="20"/>
    </row>
    <row r="140" spans="1:5" ht="15" customHeight="1">
      <c r="A140" s="20" t="str">
        <f t="shared" si="5"/>
        <v>Quantité option Assemblage latéral ombrière</v>
      </c>
      <c r="B140" s="20" t="s">
        <v>454</v>
      </c>
      <c r="C140" s="20" t="s">
        <v>148</v>
      </c>
      <c r="D140" s="20" t="s">
        <v>957</v>
      </c>
      <c r="E140" s="20" t="s">
        <v>331</v>
      </c>
    </row>
    <row r="141" spans="1:5" ht="15" customHeight="1">
      <c r="A141" s="20" t="str">
        <f t="shared" si="5"/>
        <v>Prix total après remise €HT</v>
      </c>
      <c r="B141" s="20" t="s">
        <v>139</v>
      </c>
      <c r="C141" s="21" t="s">
        <v>145</v>
      </c>
      <c r="D141" s="21" t="s">
        <v>819</v>
      </c>
      <c r="E141" s="20" t="s">
        <v>302</v>
      </c>
    </row>
    <row r="142" spans="1:5">
      <c r="A142" s="20" t="str">
        <f t="shared" si="5"/>
        <v>KIT Assemblage</v>
      </c>
      <c r="B142" s="20" t="s">
        <v>146</v>
      </c>
      <c r="C142" s="20" t="s">
        <v>149</v>
      </c>
      <c r="D142" s="20" t="s">
        <v>958</v>
      </c>
      <c r="E142" s="20" t="s">
        <v>332</v>
      </c>
    </row>
    <row r="143" spans="1:5">
      <c r="A143" s="20" t="str">
        <f t="shared" si="5"/>
        <v>Complément</v>
      </c>
      <c r="B143" s="20" t="s">
        <v>150</v>
      </c>
      <c r="C143" s="20" t="s">
        <v>151</v>
      </c>
      <c r="D143" s="20" t="s">
        <v>959</v>
      </c>
      <c r="E143" s="20" t="s">
        <v>303</v>
      </c>
    </row>
    <row r="144" spans="1:5">
      <c r="A144" s="20" t="str">
        <f t="shared" si="5"/>
        <v>Assemblage latéral (face aux modules à droite et à gauche )</v>
      </c>
      <c r="B144" s="20" t="s">
        <v>633</v>
      </c>
      <c r="C144" s="20" t="s">
        <v>162</v>
      </c>
      <c r="D144" s="20" t="s">
        <v>960</v>
      </c>
      <c r="E144" s="20" t="s">
        <v>304</v>
      </c>
    </row>
    <row r="145" spans="1:5">
      <c r="A145" s="20" t="str">
        <f t="shared" si="5"/>
        <v>Voir onglet Assemblage</v>
      </c>
      <c r="B145" s="57" t="s">
        <v>161</v>
      </c>
      <c r="C145" s="20" t="s">
        <v>163</v>
      </c>
      <c r="D145" s="20" t="s">
        <v>961</v>
      </c>
      <c r="E145" s="20" t="s">
        <v>305</v>
      </c>
    </row>
    <row r="146" spans="1:5">
      <c r="A146" s="20" t="str">
        <f t="shared" si="5"/>
        <v>Réalisation d'assemblage</v>
      </c>
      <c r="B146" s="20" t="s">
        <v>156</v>
      </c>
      <c r="C146" s="20" t="s">
        <v>164</v>
      </c>
      <c r="D146" s="20" t="s">
        <v>962</v>
      </c>
      <c r="E146" s="20" t="s">
        <v>333</v>
      </c>
    </row>
    <row r="147" spans="1:5">
      <c r="A147" s="20" t="str">
        <f t="shared" si="5"/>
        <v>Nb Liaisons</v>
      </c>
      <c r="B147" s="20" t="s">
        <v>808</v>
      </c>
      <c r="C147" s="20" t="s">
        <v>165</v>
      </c>
      <c r="D147" s="20" t="s">
        <v>1043</v>
      </c>
      <c r="E147" s="20" t="s">
        <v>334</v>
      </c>
    </row>
    <row r="148" spans="1:5">
      <c r="A148" s="20" t="str">
        <f t="shared" si="5"/>
        <v>Synthèse de l'assemblage</v>
      </c>
      <c r="B148" s="20" t="s">
        <v>453</v>
      </c>
      <c r="C148" s="20" t="s">
        <v>166</v>
      </c>
      <c r="D148" s="20" t="s">
        <v>963</v>
      </c>
      <c r="E148" s="20" t="s">
        <v>335</v>
      </c>
    </row>
    <row r="149" spans="1:5">
      <c r="A149" s="20" t="str">
        <f t="shared" si="5"/>
        <v>PIEDS (lot de 2) 3500 7016</v>
      </c>
      <c r="B149" s="30" t="s">
        <v>168</v>
      </c>
      <c r="C149" s="30" t="s">
        <v>169</v>
      </c>
      <c r="D149" s="30" t="s">
        <v>964</v>
      </c>
      <c r="E149" s="30" t="s">
        <v>336</v>
      </c>
    </row>
    <row r="150" spans="1:5">
      <c r="A150" s="20" t="str">
        <f t="shared" si="5"/>
        <v>Rajout Câbles de liaison</v>
      </c>
      <c r="B150" s="30" t="s">
        <v>812</v>
      </c>
      <c r="C150" s="30"/>
      <c r="D150" s="30"/>
      <c r="E150" s="30"/>
    </row>
    <row r="151" spans="1:5">
      <c r="A151" s="20" t="str">
        <f t="shared" si="5"/>
        <v>Longueur de pieds (mm)</v>
      </c>
      <c r="B151" s="22" t="s">
        <v>459</v>
      </c>
      <c r="C151" s="22" t="s">
        <v>887</v>
      </c>
      <c r="D151" s="22" t="s">
        <v>965</v>
      </c>
      <c r="E151" s="20" t="s">
        <v>337</v>
      </c>
    </row>
    <row r="152" spans="1:5">
      <c r="A152" s="339" t="str">
        <f t="shared" si="5"/>
        <v>PIEDS (lot de 2) 3500 9010</v>
      </c>
      <c r="B152" s="336" t="s">
        <v>170</v>
      </c>
      <c r="C152" s="336" t="s">
        <v>171</v>
      </c>
      <c r="D152" s="336" t="s">
        <v>966</v>
      </c>
      <c r="E152" s="336" t="s">
        <v>338</v>
      </c>
    </row>
    <row r="153" spans="1:5">
      <c r="A153" s="339" t="str">
        <f t="shared" si="5"/>
        <v>PIEDS (lot de 2) 3500 XXXX</v>
      </c>
      <c r="B153" s="336" t="s">
        <v>167</v>
      </c>
      <c r="C153" s="336" t="s">
        <v>172</v>
      </c>
      <c r="D153" s="336" t="s">
        <v>967</v>
      </c>
      <c r="E153" s="336" t="s">
        <v>339</v>
      </c>
    </row>
    <row r="154" spans="1:5">
      <c r="A154" s="339" t="str">
        <f t="shared" si="5"/>
        <v>Ajouter le code couleur à la référence (9010 ou 7016 ou 7016M ou ….)</v>
      </c>
      <c r="B154" s="336" t="s">
        <v>221</v>
      </c>
      <c r="C154" s="337" t="s">
        <v>237</v>
      </c>
      <c r="D154" s="337" t="s">
        <v>968</v>
      </c>
      <c r="E154" s="339" t="s">
        <v>340</v>
      </c>
    </row>
    <row r="155" spans="1:5">
      <c r="A155" s="339" t="str">
        <f t="shared" si="5"/>
        <v>Si besoin d'une palette suppplémentaire, ajout d'un forfait de 50€ pour l'emballage.</v>
      </c>
      <c r="B155" s="336" t="s">
        <v>236</v>
      </c>
      <c r="C155" s="337" t="s">
        <v>238</v>
      </c>
      <c r="D155" s="337" t="s">
        <v>969</v>
      </c>
      <c r="E155" s="339" t="s">
        <v>341</v>
      </c>
    </row>
    <row r="156" spans="1:5">
      <c r="A156" s="339" t="str">
        <f t="shared" si="5"/>
        <v>Erreur</v>
      </c>
      <c r="B156" s="336" t="s">
        <v>240</v>
      </c>
      <c r="C156" s="337" t="s">
        <v>241</v>
      </c>
      <c r="D156" s="337" t="s">
        <v>970</v>
      </c>
      <c r="E156" s="337" t="s">
        <v>342</v>
      </c>
    </row>
    <row r="157" spans="1:5">
      <c r="A157" s="339" t="str">
        <f t="shared" si="5"/>
        <v>Nb liaison latérale</v>
      </c>
      <c r="B157" s="336" t="s">
        <v>242</v>
      </c>
      <c r="C157" s="337" t="s">
        <v>246</v>
      </c>
      <c r="D157" s="337" t="s">
        <v>971</v>
      </c>
      <c r="E157" s="337" t="s">
        <v>353</v>
      </c>
    </row>
    <row r="158" spans="1:5">
      <c r="A158" s="339" t="str">
        <f t="shared" si="5"/>
        <v>Nb Liaison x2</v>
      </c>
      <c r="B158" s="346" t="s">
        <v>173</v>
      </c>
      <c r="C158" s="337" t="s">
        <v>247</v>
      </c>
      <c r="D158" s="337" t="s">
        <v>972</v>
      </c>
      <c r="E158" s="337" t="s">
        <v>343</v>
      </c>
    </row>
    <row r="159" spans="1:5">
      <c r="A159" s="339" t="str">
        <f t="shared" si="5"/>
        <v>Nb Liaison x3</v>
      </c>
      <c r="B159" s="346" t="s">
        <v>174</v>
      </c>
      <c r="C159" s="337" t="s">
        <v>248</v>
      </c>
      <c r="D159" s="337" t="s">
        <v>973</v>
      </c>
      <c r="E159" s="337" t="s">
        <v>344</v>
      </c>
    </row>
    <row r="160" spans="1:5">
      <c r="A160" s="20" t="str">
        <f t="shared" si="5"/>
        <v>Nombre de pieds</v>
      </c>
      <c r="B160" s="70" t="s">
        <v>621</v>
      </c>
      <c r="C160" s="21" t="s">
        <v>249</v>
      </c>
      <c r="D160" s="21" t="s">
        <v>1044</v>
      </c>
      <c r="E160" s="21" t="s">
        <v>345</v>
      </c>
    </row>
    <row r="161" spans="1:5">
      <c r="A161" s="20" t="str">
        <f t="shared" si="5"/>
        <v>Nb Pieds 2ème ligne</v>
      </c>
      <c r="B161" s="70" t="s">
        <v>809</v>
      </c>
      <c r="C161" s="21" t="s">
        <v>250</v>
      </c>
      <c r="D161" s="21" t="s">
        <v>1045</v>
      </c>
      <c r="E161" s="21" t="s">
        <v>346</v>
      </c>
    </row>
    <row r="162" spans="1:5">
      <c r="A162" s="20" t="str">
        <f t="shared" ref="A162" si="8">INDEX(B162:E162,$B$1)</f>
        <v>Nombre total de paires de pieds</v>
      </c>
      <c r="B162" s="70" t="s">
        <v>810</v>
      </c>
      <c r="C162" s="21" t="s">
        <v>853</v>
      </c>
      <c r="D162" s="21" t="s">
        <v>976</v>
      </c>
      <c r="E162" s="21"/>
    </row>
    <row r="163" spans="1:5">
      <c r="A163" s="339" t="str">
        <f t="shared" si="5"/>
        <v>Nb d'embase 1er ligne</v>
      </c>
      <c r="B163" s="346" t="s">
        <v>243</v>
      </c>
      <c r="C163" s="339" t="s">
        <v>251</v>
      </c>
      <c r="D163" s="339" t="s">
        <v>974</v>
      </c>
      <c r="E163" s="339" t="s">
        <v>351</v>
      </c>
    </row>
    <row r="164" spans="1:5">
      <c r="A164" s="339" t="str">
        <f t="shared" si="5"/>
        <v>Nb d'embase 2e ligne</v>
      </c>
      <c r="B164" s="338" t="s">
        <v>244</v>
      </c>
      <c r="C164" s="339" t="s">
        <v>252</v>
      </c>
      <c r="D164" s="339" t="s">
        <v>975</v>
      </c>
      <c r="E164" s="339" t="s">
        <v>352</v>
      </c>
    </row>
    <row r="165" spans="1:5">
      <c r="A165" s="339" t="str">
        <f t="shared" si="5"/>
        <v>Ligne 1</v>
      </c>
      <c r="B165" s="347" t="s">
        <v>175</v>
      </c>
      <c r="C165" s="337" t="s">
        <v>253</v>
      </c>
      <c r="D165" s="337" t="s">
        <v>977</v>
      </c>
      <c r="E165" s="337" t="s">
        <v>347</v>
      </c>
    </row>
    <row r="166" spans="1:5">
      <c r="A166" s="339" t="str">
        <f t="shared" si="5"/>
        <v>Ligne 2</v>
      </c>
      <c r="B166" s="347" t="s">
        <v>176</v>
      </c>
      <c r="C166" s="337" t="s">
        <v>254</v>
      </c>
      <c r="D166" s="337" t="s">
        <v>978</v>
      </c>
      <c r="E166" s="337" t="s">
        <v>348</v>
      </c>
    </row>
    <row r="167" spans="1:5">
      <c r="A167" s="339" t="str">
        <f t="shared" si="5"/>
        <v>Total</v>
      </c>
      <c r="B167" s="347" t="s">
        <v>177</v>
      </c>
      <c r="C167" s="337" t="s">
        <v>177</v>
      </c>
      <c r="D167" s="337" t="s">
        <v>979</v>
      </c>
      <c r="E167" s="337" t="s">
        <v>177</v>
      </c>
    </row>
    <row r="168" spans="1:5">
      <c r="A168" s="339" t="str">
        <f t="shared" si="5"/>
        <v>Version 4 p</v>
      </c>
      <c r="B168" s="347" t="s">
        <v>245</v>
      </c>
      <c r="C168" s="337" t="s">
        <v>255</v>
      </c>
      <c r="D168" s="337" t="s">
        <v>980</v>
      </c>
      <c r="E168" s="337" t="s">
        <v>350</v>
      </c>
    </row>
    <row r="169" spans="1:5">
      <c r="A169" s="339" t="str">
        <f t="shared" si="5"/>
        <v>Nbre Shadow/ligne</v>
      </c>
      <c r="B169" s="347" t="s">
        <v>178</v>
      </c>
      <c r="C169" s="337" t="s">
        <v>256</v>
      </c>
      <c r="D169" s="337" t="s">
        <v>981</v>
      </c>
      <c r="E169" s="337" t="s">
        <v>349</v>
      </c>
    </row>
    <row r="170" spans="1:5">
      <c r="A170" s="339" t="str">
        <f t="shared" si="5"/>
        <v>CANIVEAU 2x</v>
      </c>
      <c r="B170" s="336" t="s">
        <v>180</v>
      </c>
      <c r="C170" s="337" t="s">
        <v>354</v>
      </c>
      <c r="D170" s="337" t="s">
        <v>982</v>
      </c>
      <c r="E170" s="339" t="s">
        <v>373</v>
      </c>
    </row>
    <row r="171" spans="1:5">
      <c r="A171" s="339" t="str">
        <f t="shared" si="5"/>
        <v>CANIVEAU 3x</v>
      </c>
      <c r="B171" s="336" t="s">
        <v>181</v>
      </c>
      <c r="C171" s="337" t="s">
        <v>355</v>
      </c>
      <c r="D171" s="337" t="s">
        <v>983</v>
      </c>
      <c r="E171" s="339" t="s">
        <v>374</v>
      </c>
    </row>
    <row r="172" spans="1:5">
      <c r="A172" s="339" t="str">
        <f t="shared" si="5"/>
        <v>CANIVEAU 4x</v>
      </c>
      <c r="B172" s="339" t="s">
        <v>182</v>
      </c>
      <c r="C172" s="339" t="s">
        <v>356</v>
      </c>
      <c r="D172" s="339" t="s">
        <v>984</v>
      </c>
      <c r="E172" s="339" t="s">
        <v>375</v>
      </c>
    </row>
    <row r="173" spans="1:5">
      <c r="A173" s="339" t="str">
        <f t="shared" si="5"/>
        <v>GOULOTTE AVANT x2</v>
      </c>
      <c r="B173" s="336" t="s">
        <v>185</v>
      </c>
      <c r="C173" s="337" t="s">
        <v>357</v>
      </c>
      <c r="D173" s="337" t="s">
        <v>357</v>
      </c>
      <c r="E173" s="339" t="s">
        <v>376</v>
      </c>
    </row>
    <row r="174" spans="1:5">
      <c r="A174" s="339" t="str">
        <f t="shared" si="5"/>
        <v>GOULOTTE AVANT x3</v>
      </c>
      <c r="B174" s="336" t="s">
        <v>186</v>
      </c>
      <c r="C174" s="337" t="s">
        <v>358</v>
      </c>
      <c r="D174" s="337" t="s">
        <v>985</v>
      </c>
      <c r="E174" s="339" t="s">
        <v>377</v>
      </c>
    </row>
    <row r="175" spans="1:5">
      <c r="A175" s="339" t="str">
        <f t="shared" si="5"/>
        <v>GOULOTTE ARRIERE x2</v>
      </c>
      <c r="B175" s="336" t="s">
        <v>187</v>
      </c>
      <c r="C175" s="337" t="s">
        <v>359</v>
      </c>
      <c r="D175" s="337" t="s">
        <v>359</v>
      </c>
      <c r="E175" s="339" t="s">
        <v>378</v>
      </c>
    </row>
    <row r="176" spans="1:5">
      <c r="A176" s="339" t="str">
        <f t="shared" si="5"/>
        <v>GOULOTTE ARRIERE x3</v>
      </c>
      <c r="B176" s="336" t="s">
        <v>188</v>
      </c>
      <c r="C176" s="337" t="s">
        <v>360</v>
      </c>
      <c r="D176" s="337" t="s">
        <v>360</v>
      </c>
      <c r="E176" s="339" t="s">
        <v>379</v>
      </c>
    </row>
    <row r="177" spans="1:5">
      <c r="A177" s="339" t="str">
        <f t="shared" si="5"/>
        <v>SPOILER x2</v>
      </c>
      <c r="B177" s="336" t="s">
        <v>189</v>
      </c>
      <c r="C177" s="336" t="s">
        <v>189</v>
      </c>
      <c r="D177" s="336" t="s">
        <v>189</v>
      </c>
      <c r="E177" s="336" t="s">
        <v>189</v>
      </c>
    </row>
    <row r="178" spans="1:5">
      <c r="A178" s="339" t="str">
        <f t="shared" si="5"/>
        <v>SPOILER x3</v>
      </c>
      <c r="B178" s="336" t="s">
        <v>190</v>
      </c>
      <c r="C178" s="336" t="s">
        <v>190</v>
      </c>
      <c r="D178" s="336" t="s">
        <v>190</v>
      </c>
      <c r="E178" s="336" t="s">
        <v>190</v>
      </c>
    </row>
    <row r="179" spans="1:5">
      <c r="A179" s="339" t="str">
        <f t="shared" si="5"/>
        <v>ASS.SPOILER x2</v>
      </c>
      <c r="B179" s="336" t="s">
        <v>191</v>
      </c>
      <c r="C179" s="336" t="s">
        <v>191</v>
      </c>
      <c r="D179" s="336" t="s">
        <v>1046</v>
      </c>
      <c r="E179" s="336" t="s">
        <v>191</v>
      </c>
    </row>
    <row r="180" spans="1:5">
      <c r="A180" s="339" t="str">
        <f t="shared" si="5"/>
        <v>ASS.SPOILER x3</v>
      </c>
      <c r="B180" s="336" t="s">
        <v>192</v>
      </c>
      <c r="C180" s="336" t="s">
        <v>192</v>
      </c>
      <c r="D180" s="336" t="s">
        <v>1047</v>
      </c>
      <c r="E180" s="336" t="s">
        <v>192</v>
      </c>
    </row>
    <row r="181" spans="1:5">
      <c r="A181" s="339" t="str">
        <f t="shared" si="5"/>
        <v>U ETANCHEITE INTER RANGEES x2</v>
      </c>
      <c r="B181" s="339" t="s">
        <v>193</v>
      </c>
      <c r="C181" s="336" t="s">
        <v>361</v>
      </c>
      <c r="D181" s="336" t="s">
        <v>986</v>
      </c>
      <c r="E181" s="336" t="s">
        <v>380</v>
      </c>
    </row>
    <row r="182" spans="1:5">
      <c r="A182" s="339" t="str">
        <f t="shared" si="5"/>
        <v>U ETANCHEITE INTER RANGEES x3</v>
      </c>
      <c r="B182" s="339" t="s">
        <v>194</v>
      </c>
      <c r="C182" s="339" t="s">
        <v>362</v>
      </c>
      <c r="D182" s="339" t="s">
        <v>987</v>
      </c>
      <c r="E182" s="336" t="s">
        <v>381</v>
      </c>
    </row>
    <row r="183" spans="1:5">
      <c r="A183" s="339" t="str">
        <f t="shared" si="5"/>
        <v>U ETANCHEITE INTER MODULE</v>
      </c>
      <c r="B183" s="339" t="s">
        <v>195</v>
      </c>
      <c r="C183" s="339" t="s">
        <v>363</v>
      </c>
      <c r="D183" s="339" t="s">
        <v>988</v>
      </c>
      <c r="E183" s="336" t="s">
        <v>382</v>
      </c>
    </row>
    <row r="184" spans="1:5">
      <c r="A184" s="339" t="str">
        <f t="shared" si="5"/>
        <v>CALLE SERRE PANNEAU</v>
      </c>
      <c r="B184" s="339" t="s">
        <v>196</v>
      </c>
      <c r="C184" s="336" t="s">
        <v>364</v>
      </c>
      <c r="D184" s="336" t="s">
        <v>989</v>
      </c>
      <c r="E184" s="336" t="s">
        <v>383</v>
      </c>
    </row>
    <row r="185" spans="1:5">
      <c r="A185" s="339" t="str">
        <f t="shared" si="5"/>
        <v>FERMETURE SPOILER</v>
      </c>
      <c r="B185" s="339" t="s">
        <v>197</v>
      </c>
      <c r="C185" s="336" t="s">
        <v>365</v>
      </c>
      <c r="D185" s="336" t="s">
        <v>990</v>
      </c>
      <c r="E185" s="336" t="s">
        <v>384</v>
      </c>
    </row>
    <row r="186" spans="1:5">
      <c r="A186" s="339" t="str">
        <f t="shared" si="5"/>
        <v>PLAQUE DE JOINT ETANCHEITE</v>
      </c>
      <c r="B186" s="339" t="s">
        <v>198</v>
      </c>
      <c r="C186" s="336" t="s">
        <v>366</v>
      </c>
      <c r="D186" s="336" t="s">
        <v>991</v>
      </c>
      <c r="E186" s="336" t="s">
        <v>385</v>
      </c>
    </row>
    <row r="187" spans="1:5">
      <c r="A187" s="339" t="str">
        <f t="shared" si="5"/>
        <v>PLAQUE EQUERRAGE</v>
      </c>
      <c r="B187" s="339" t="s">
        <v>199</v>
      </c>
      <c r="C187" s="336" t="s">
        <v>367</v>
      </c>
      <c r="D187" s="336" t="s">
        <v>992</v>
      </c>
      <c r="E187" s="336" t="s">
        <v>386</v>
      </c>
    </row>
    <row r="188" spans="1:5">
      <c r="A188" s="339" t="str">
        <f t="shared" si="5"/>
        <v>SORTIE DE CANIVEAU</v>
      </c>
      <c r="B188" s="339" t="s">
        <v>200</v>
      </c>
      <c r="C188" s="336" t="s">
        <v>368</v>
      </c>
      <c r="D188" s="336" t="s">
        <v>993</v>
      </c>
      <c r="E188" s="336" t="s">
        <v>387</v>
      </c>
    </row>
    <row r="189" spans="1:5">
      <c r="A189" s="339" t="str">
        <f t="shared" si="5"/>
        <v>COMPRIBANDE TRS 15/1-3</v>
      </c>
      <c r="B189" s="339" t="s">
        <v>201</v>
      </c>
      <c r="C189" s="339" t="s">
        <v>370</v>
      </c>
      <c r="D189" s="339" t="s">
        <v>994</v>
      </c>
      <c r="E189" s="336" t="s">
        <v>388</v>
      </c>
    </row>
    <row r="190" spans="1:5">
      <c r="A190" s="339" t="str">
        <f t="shared" si="5"/>
        <v>OUTILLAGE DE MONTAGE</v>
      </c>
      <c r="B190" s="339" t="s">
        <v>202</v>
      </c>
      <c r="C190" s="336" t="s">
        <v>369</v>
      </c>
      <c r="D190" s="336" t="s">
        <v>995</v>
      </c>
      <c r="E190" s="336" t="s">
        <v>389</v>
      </c>
    </row>
    <row r="191" spans="1:5">
      <c r="A191" s="339" t="str">
        <f t="shared" si="5"/>
        <v>FINITION LAT. LIGNE AV.+AR.</v>
      </c>
      <c r="B191" s="339" t="s">
        <v>223</v>
      </c>
      <c r="C191" s="336" t="s">
        <v>371</v>
      </c>
      <c r="D191" s="336" t="s">
        <v>996</v>
      </c>
      <c r="E191" s="336" t="s">
        <v>390</v>
      </c>
    </row>
    <row r="192" spans="1:5">
      <c r="A192" s="339" t="str">
        <f t="shared" si="5"/>
        <v>FINITION LAT. A+ 1 LIGNE</v>
      </c>
      <c r="B192" s="339" t="s">
        <v>222</v>
      </c>
      <c r="C192" s="336" t="s">
        <v>372</v>
      </c>
      <c r="D192" s="336" t="s">
        <v>997</v>
      </c>
      <c r="E192" s="336" t="s">
        <v>391</v>
      </c>
    </row>
    <row r="193" spans="1:5">
      <c r="A193" s="339" t="str">
        <f t="shared" si="5"/>
        <v>GOULOTTE AVANT x2</v>
      </c>
      <c r="B193" s="339" t="s">
        <v>185</v>
      </c>
      <c r="C193" s="337" t="s">
        <v>357</v>
      </c>
      <c r="D193" s="337" t="s">
        <v>998</v>
      </c>
      <c r="E193" s="339" t="s">
        <v>376</v>
      </c>
    </row>
    <row r="194" spans="1:5">
      <c r="A194" s="339" t="str">
        <f t="shared" ref="A194:A206" si="9">INDEX(B194:E194,$B$1)</f>
        <v>GOULOTTE AVANT x3</v>
      </c>
      <c r="B194" s="339" t="s">
        <v>186</v>
      </c>
      <c r="C194" s="337" t="s">
        <v>358</v>
      </c>
      <c r="D194" s="337" t="s">
        <v>999</v>
      </c>
      <c r="E194" s="339" t="s">
        <v>377</v>
      </c>
    </row>
    <row r="195" spans="1:5">
      <c r="A195" s="339" t="str">
        <f t="shared" si="9"/>
        <v>GOULOTTE ARRIERE x2</v>
      </c>
      <c r="B195" s="339" t="s">
        <v>187</v>
      </c>
      <c r="C195" s="337" t="s">
        <v>359</v>
      </c>
      <c r="D195" s="337" t="s">
        <v>1000</v>
      </c>
      <c r="E195" s="339" t="s">
        <v>378</v>
      </c>
    </row>
    <row r="196" spans="1:5">
      <c r="A196" s="339" t="str">
        <f t="shared" si="9"/>
        <v>GOULOTTE ARRIERE x3</v>
      </c>
      <c r="B196" s="339" t="s">
        <v>188</v>
      </c>
      <c r="C196" s="337" t="s">
        <v>360</v>
      </c>
      <c r="D196" s="337" t="s">
        <v>1001</v>
      </c>
      <c r="E196" s="339" t="s">
        <v>379</v>
      </c>
    </row>
    <row r="197" spans="1:5">
      <c r="A197" s="339" t="str">
        <f t="shared" si="9"/>
        <v>SPOILER x2</v>
      </c>
      <c r="B197" s="339" t="s">
        <v>189</v>
      </c>
      <c r="C197" s="336" t="s">
        <v>189</v>
      </c>
      <c r="D197" s="336" t="s">
        <v>189</v>
      </c>
      <c r="E197" s="336" t="s">
        <v>189</v>
      </c>
    </row>
    <row r="198" spans="1:5">
      <c r="A198" s="339" t="str">
        <f t="shared" si="9"/>
        <v>SPOILER x3</v>
      </c>
      <c r="B198" s="339" t="s">
        <v>190</v>
      </c>
      <c r="C198" s="336" t="s">
        <v>190</v>
      </c>
      <c r="D198" s="336" t="s">
        <v>190</v>
      </c>
      <c r="E198" s="336" t="s">
        <v>190</v>
      </c>
    </row>
    <row r="199" spans="1:5">
      <c r="A199" s="339" t="str">
        <f t="shared" si="9"/>
        <v>ASS.SPOILER x2</v>
      </c>
      <c r="B199" s="339" t="s">
        <v>191</v>
      </c>
      <c r="C199" s="336" t="s">
        <v>191</v>
      </c>
      <c r="D199" s="336" t="s">
        <v>1002</v>
      </c>
      <c r="E199" s="336" t="s">
        <v>191</v>
      </c>
    </row>
    <row r="200" spans="1:5">
      <c r="A200" s="339" t="str">
        <f t="shared" si="9"/>
        <v>ASS.SPOILER x3</v>
      </c>
      <c r="B200" s="339" t="s">
        <v>192</v>
      </c>
      <c r="C200" s="336" t="s">
        <v>192</v>
      </c>
      <c r="D200" s="336" t="s">
        <v>1003</v>
      </c>
      <c r="E200" s="336" t="s">
        <v>192</v>
      </c>
    </row>
    <row r="201" spans="1:5">
      <c r="A201" s="339" t="str">
        <f t="shared" si="9"/>
        <v>U ETANCHEITE INTER RANGEES x2</v>
      </c>
      <c r="B201" s="339" t="s">
        <v>193</v>
      </c>
      <c r="C201" s="336" t="s">
        <v>361</v>
      </c>
      <c r="D201" s="336" t="s">
        <v>1004</v>
      </c>
      <c r="E201" s="336" t="s">
        <v>380</v>
      </c>
    </row>
    <row r="202" spans="1:5">
      <c r="A202" s="339" t="str">
        <f t="shared" si="9"/>
        <v>U ETANCHEITE INTER RANGEES x3</v>
      </c>
      <c r="B202" s="339" t="s">
        <v>194</v>
      </c>
      <c r="C202" s="339" t="s">
        <v>362</v>
      </c>
      <c r="D202" s="339" t="s">
        <v>1005</v>
      </c>
      <c r="E202" s="336" t="s">
        <v>381</v>
      </c>
    </row>
    <row r="203" spans="1:5">
      <c r="A203" s="20" t="str">
        <f t="shared" si="9"/>
        <v>1/ Renseigner les lignes.</v>
      </c>
      <c r="B203" s="20" t="s">
        <v>651</v>
      </c>
      <c r="C203" s="20" t="s">
        <v>854</v>
      </c>
      <c r="D203" s="20" t="s">
        <v>1006</v>
      </c>
      <c r="E203" s="30"/>
    </row>
    <row r="204" spans="1:5">
      <c r="A204" s="20" t="str">
        <f t="shared" si="9"/>
        <v>2/ Calcul Eurocodes</v>
      </c>
      <c r="B204" s="20" t="s">
        <v>1196</v>
      </c>
      <c r="C204" s="20" t="s">
        <v>855</v>
      </c>
      <c r="D204" s="20" t="s">
        <v>1007</v>
      </c>
      <c r="E204" s="30"/>
    </row>
    <row r="205" spans="1:5">
      <c r="A205" s="20" t="str">
        <f t="shared" si="9"/>
        <v>4/ Noter la remise IRFTS</v>
      </c>
      <c r="B205" s="20" t="s">
        <v>1191</v>
      </c>
      <c r="C205" s="20" t="s">
        <v>1192</v>
      </c>
      <c r="D205" s="20" t="s">
        <v>1193</v>
      </c>
      <c r="E205" s="30"/>
    </row>
    <row r="206" spans="1:5">
      <c r="A206" s="20" t="str">
        <f t="shared" si="9"/>
        <v>3/Nomenclature IRFTS</v>
      </c>
      <c r="B206" s="20" t="s">
        <v>1194</v>
      </c>
      <c r="C206" s="20" t="s">
        <v>1189</v>
      </c>
      <c r="D206" s="20" t="s">
        <v>1190</v>
      </c>
      <c r="E206" s="30"/>
    </row>
    <row r="207" spans="1:5">
      <c r="A207" s="20" t="str">
        <f>INDEX(B207:E207,$B$1)</f>
        <v>5/Nomenclature Distributeur</v>
      </c>
      <c r="B207" s="20" t="s">
        <v>1195</v>
      </c>
      <c r="C207" s="20" t="s">
        <v>856</v>
      </c>
      <c r="D207" s="20" t="s">
        <v>1008</v>
      </c>
      <c r="E207" s="30"/>
    </row>
    <row r="208" spans="1:5">
      <c r="A208" s="20" t="str">
        <f>INDEX(B208:E208,$B$1)</f>
        <v>3/Nomenclature IRFTS</v>
      </c>
      <c r="B208" s="20" t="s">
        <v>1194</v>
      </c>
      <c r="C208" s="20" t="s">
        <v>1189</v>
      </c>
      <c r="D208" s="20" t="s">
        <v>1190</v>
      </c>
      <c r="E208" s="30"/>
    </row>
    <row r="209" spans="1:5" ht="60">
      <c r="A209" s="339" t="str">
        <f t="shared" ref="A209:A229" si="10">INDEX(B209:E209,$B$1)</f>
        <v>1.1 Si vous utilisez des modules de dimensions comprises entre 1635 et 1676mm, compléter l'onglet "Shadow Solar 1635-1676", si vous utilisez des modules de dimensions comprises entre 1655 et 1685mm, compléter l'onglet "Shadow Solar 1655-1685"</v>
      </c>
      <c r="B209" s="348" t="s">
        <v>399</v>
      </c>
      <c r="C209" s="348" t="s">
        <v>404</v>
      </c>
      <c r="D209" s="348" t="s">
        <v>1009</v>
      </c>
      <c r="E209" s="336"/>
    </row>
    <row r="210" spans="1:5" ht="45">
      <c r="A210" s="339" t="str">
        <f t="shared" si="10"/>
        <v>1.2 Si nécessaire, vous pouvez ajouter des pièces supplémentaires sur votre commande (exemple: +10) ou bien en retirer (exemple: -10) en utilisant la colonne M</v>
      </c>
      <c r="B210" s="348" t="s">
        <v>456</v>
      </c>
      <c r="C210" s="348" t="s">
        <v>405</v>
      </c>
      <c r="D210" s="348" t="s">
        <v>1010</v>
      </c>
      <c r="E210" s="336"/>
    </row>
    <row r="211" spans="1:5" ht="30">
      <c r="A211" s="339" t="str">
        <f t="shared" si="10"/>
        <v>1.3 Indiquez votre remise (cellule P69), le prix par champ s'affiche ligne 69 et le total de la commande est dans la cellule R68</v>
      </c>
      <c r="B211" s="348" t="s">
        <v>400</v>
      </c>
      <c r="C211" s="348" t="s">
        <v>406</v>
      </c>
      <c r="D211" s="348" t="s">
        <v>1011</v>
      </c>
      <c r="E211" s="336"/>
    </row>
    <row r="212" spans="1:5" ht="30">
      <c r="A212" s="339" t="str">
        <f t="shared" si="10"/>
        <v>2.0 Si vous souhaitez effectuer un assemblage de 2 ou plusieurs ombrières, vous devez remplir l'onglet "Assemblage Shadow Solar" uniquement.</v>
      </c>
      <c r="B212" s="348" t="s">
        <v>402</v>
      </c>
      <c r="C212" s="348" t="s">
        <v>407</v>
      </c>
      <c r="D212" s="348" t="s">
        <v>1012</v>
      </c>
      <c r="E212" s="336"/>
    </row>
    <row r="213" spans="1:5" ht="30">
      <c r="A213" s="339" t="str">
        <f t="shared" si="10"/>
        <v>2.1 Pour un assemblage latéral: noter la configuration sur la même ligne</v>
      </c>
      <c r="B213" s="348" t="s">
        <v>401</v>
      </c>
      <c r="C213" s="348" t="s">
        <v>408</v>
      </c>
      <c r="D213" s="348" t="s">
        <v>1013</v>
      </c>
      <c r="E213" s="336"/>
    </row>
    <row r="214" spans="1:5" ht="30">
      <c r="A214" s="339" t="str">
        <f t="shared" si="10"/>
        <v>2.2 Pour un assemblage en profondeur: noter la configuration sur la même colonne</v>
      </c>
      <c r="B214" s="348" t="s">
        <v>403</v>
      </c>
      <c r="C214" s="348" t="s">
        <v>409</v>
      </c>
      <c r="D214" s="348" t="s">
        <v>1014</v>
      </c>
      <c r="E214" s="336"/>
    </row>
    <row r="215" spans="1:5" ht="30">
      <c r="A215" s="339" t="str">
        <f t="shared" si="10"/>
        <v xml:space="preserve">3.0 Noter le nombre d'assemblages dans la cellule L15 de l'onglet "Shadow Solar 1635-1676" ou "Shadow Solar 1655-1685" </v>
      </c>
      <c r="B215" s="348" t="s">
        <v>455</v>
      </c>
      <c r="C215" s="348" t="s">
        <v>410</v>
      </c>
      <c r="D215" s="348" t="s">
        <v>1015</v>
      </c>
      <c r="E215" s="336"/>
    </row>
    <row r="216" spans="1:5" ht="30">
      <c r="A216" s="20" t="str">
        <f t="shared" si="10"/>
        <v>Catégorie 0 : 
mer ou zone côtière exposée aux vents de mer.</v>
      </c>
      <c r="B216" s="198" t="s">
        <v>576</v>
      </c>
      <c r="C216" s="198" t="s">
        <v>577</v>
      </c>
      <c r="D216" s="198" t="s">
        <v>1016</v>
      </c>
      <c r="E216" s="20"/>
    </row>
    <row r="217" spans="1:5" ht="30">
      <c r="A217" s="20" t="str">
        <f t="shared" si="10"/>
        <v>Catégorie 1 : 
lac ou zone à végétation négligeable et libre de tout obstacle.</v>
      </c>
      <c r="B217" s="198" t="s">
        <v>811</v>
      </c>
      <c r="C217" s="198" t="s">
        <v>578</v>
      </c>
      <c r="D217" s="198" t="s">
        <v>1017</v>
      </c>
      <c r="E217" s="20"/>
    </row>
    <row r="218" spans="1:5" ht="45">
      <c r="A218" s="20" t="str">
        <f t="shared" si="10"/>
        <v>Catégorie 2 : zone à végétation basse telle que de l’herbe, avec ou non quelques obstacles isolés (arbres, bâtiments) séparés les uns des autres d'au moins 20 fois leur hauteur.</v>
      </c>
      <c r="B218" s="198" t="s">
        <v>579</v>
      </c>
      <c r="C218" s="198" t="s">
        <v>580</v>
      </c>
      <c r="D218" s="198" t="s">
        <v>1018</v>
      </c>
      <c r="E218" s="20"/>
    </row>
    <row r="219" spans="1:5" ht="45">
      <c r="A219" s="20" t="str">
        <f t="shared" si="10"/>
        <v>Catégorie 3 : 
zone avec une couverture végétale régulière ou des bâtiments, ou avec des obstacles isolés séparés d'au plus 20 fois leur hauteur.</v>
      </c>
      <c r="B219" s="198" t="s">
        <v>581</v>
      </c>
      <c r="C219" s="198" t="s">
        <v>582</v>
      </c>
      <c r="D219" s="198" t="s">
        <v>1019</v>
      </c>
      <c r="E219" s="20"/>
    </row>
    <row r="220" spans="1:5" ht="45">
      <c r="A220" s="20" t="str">
        <f t="shared" si="10"/>
        <v>Catégorie 4 : 
zone dont au moins 15 % de la surface sont recouverts de bâtiments, dont la hauteur moyenne est supérieure à 15 m.</v>
      </c>
      <c r="B220" s="198" t="s">
        <v>583</v>
      </c>
      <c r="C220" s="198" t="s">
        <v>584</v>
      </c>
      <c r="D220" s="198" t="s">
        <v>1020</v>
      </c>
      <c r="E220" s="20"/>
    </row>
    <row r="221" spans="1:5">
      <c r="A221" s="20" t="str">
        <f>INDEX(B221:E221,$B$1)</f>
        <v>Après remise €HT</v>
      </c>
      <c r="B221" s="21" t="s">
        <v>822</v>
      </c>
      <c r="C221" s="21" t="s">
        <v>823</v>
      </c>
      <c r="D221" t="s">
        <v>1021</v>
      </c>
    </row>
    <row r="222" spans="1:5">
      <c r="A222" s="20" t="str">
        <f t="shared" si="10"/>
        <v xml:space="preserve"> </v>
      </c>
      <c r="B222" s="97" t="s">
        <v>398</v>
      </c>
    </row>
    <row r="223" spans="1:5">
      <c r="A223" s="20" t="str">
        <f t="shared" si="10"/>
        <v xml:space="preserve"> </v>
      </c>
      <c r="B223" s="433" t="str">
        <f>IF('Définition SHADOW SOLAR EVO'!I80&gt;0,"NOTA : Livraison des plaques de Makrolon par UDV 60 pcs.",IF('Définition SHADOW SOLAR EVO'!I81&gt;0,"NOTA : Livraison des plaques de Makrolon par UDV 60 pcs."," "))</f>
        <v xml:space="preserve"> </v>
      </c>
      <c r="C223" s="433"/>
    </row>
    <row r="224" spans="1:5">
      <c r="A224" s="20" t="str">
        <f t="shared" si="10"/>
        <v>Kit distributeur</v>
      </c>
      <c r="B224" s="434" t="s">
        <v>826</v>
      </c>
      <c r="C224" s="438" t="s">
        <v>827</v>
      </c>
      <c r="D224" t="s">
        <v>1022</v>
      </c>
    </row>
    <row r="225" spans="1:4">
      <c r="A225" s="20" t="str">
        <f t="shared" si="10"/>
        <v>FRAIS DE LIVRAISON (FRANCE UNIQUEMENT)</v>
      </c>
      <c r="B225" t="s">
        <v>828</v>
      </c>
      <c r="C225" s="438" t="s">
        <v>829</v>
      </c>
      <c r="D225" t="s">
        <v>1048</v>
      </c>
    </row>
    <row r="226" spans="1:4">
      <c r="A226" s="20" t="str">
        <f t="shared" si="10"/>
        <v>TOIT EVO 2x2 7016 MAT</v>
      </c>
      <c r="B226" t="s">
        <v>756</v>
      </c>
      <c r="C226" s="439" t="s">
        <v>860</v>
      </c>
      <c r="D226" t="s">
        <v>1049</v>
      </c>
    </row>
    <row r="227" spans="1:4">
      <c r="A227" s="20" t="str">
        <f t="shared" si="10"/>
        <v>TOIT EVO 2x2 9010 BRILLANT</v>
      </c>
      <c r="B227" t="s">
        <v>770</v>
      </c>
      <c r="C227" s="439" t="s">
        <v>861</v>
      </c>
      <c r="D227" t="s">
        <v>1050</v>
      </c>
    </row>
    <row r="228" spans="1:4">
      <c r="A228" s="20" t="str">
        <f t="shared" si="10"/>
        <v>TOIT EVO 3x3 7016 MAT</v>
      </c>
      <c r="B228" t="s">
        <v>759</v>
      </c>
      <c r="C228" s="439" t="s">
        <v>862</v>
      </c>
      <c r="D228" t="s">
        <v>1051</v>
      </c>
    </row>
    <row r="229" spans="1:4">
      <c r="A229" s="20" t="str">
        <f t="shared" si="10"/>
        <v>TOIT EVO 3x3 9010 BRILLANT</v>
      </c>
      <c r="B229" t="s">
        <v>771</v>
      </c>
      <c r="C229" s="439" t="s">
        <v>863</v>
      </c>
      <c r="D229" t="s">
        <v>1052</v>
      </c>
    </row>
    <row r="230" spans="1:4">
      <c r="A230" s="20" t="str">
        <f t="shared" ref="A230:A237" si="11">INDEX(B230:E230,$B$1)</f>
        <v>TOIT EVO 4x2 7016 MAT</v>
      </c>
      <c r="B230" t="s">
        <v>760</v>
      </c>
      <c r="C230" s="439" t="s">
        <v>864</v>
      </c>
      <c r="D230" t="s">
        <v>1053</v>
      </c>
    </row>
    <row r="231" spans="1:4">
      <c r="A231" s="20" t="str">
        <f t="shared" si="11"/>
        <v>TOIT EVO 4x2 9010 BRILLANT</v>
      </c>
      <c r="B231" t="s">
        <v>772</v>
      </c>
      <c r="C231" s="439" t="s">
        <v>865</v>
      </c>
      <c r="D231" t="s">
        <v>1054</v>
      </c>
    </row>
    <row r="232" spans="1:4">
      <c r="A232" s="20" t="str">
        <f t="shared" si="11"/>
        <v>TOIT EVO 4x3 7016 MAT</v>
      </c>
      <c r="B232" t="s">
        <v>762</v>
      </c>
      <c r="C232" s="439" t="s">
        <v>866</v>
      </c>
      <c r="D232" t="s">
        <v>1055</v>
      </c>
    </row>
    <row r="233" spans="1:4">
      <c r="A233" s="20" t="str">
        <f t="shared" si="11"/>
        <v>TOIT EVO 4x3 9010 BRILLANT</v>
      </c>
      <c r="B233" t="s">
        <v>773</v>
      </c>
      <c r="C233" s="439" t="s">
        <v>867</v>
      </c>
      <c r="D233" t="s">
        <v>1056</v>
      </c>
    </row>
    <row r="234" spans="1:4">
      <c r="A234" s="20" t="str">
        <f t="shared" si="11"/>
        <v>PIEDS (Lot de 2) 2400 7016 MAT</v>
      </c>
      <c r="B234" t="s">
        <v>764</v>
      </c>
      <c r="C234" t="s">
        <v>868</v>
      </c>
      <c r="D234" t="s">
        <v>1057</v>
      </c>
    </row>
    <row r="235" spans="1:4">
      <c r="A235" s="20" t="str">
        <f t="shared" si="11"/>
        <v>PIEDS (Lot de 2) 2400 9010 BRILLANT</v>
      </c>
      <c r="B235" t="s">
        <v>774</v>
      </c>
      <c r="C235" t="s">
        <v>869</v>
      </c>
      <c r="D235" t="s">
        <v>1058</v>
      </c>
    </row>
    <row r="236" spans="1:4">
      <c r="A236" s="20" t="str">
        <f t="shared" si="11"/>
        <v>PIEDS (Lot de 2) 3500 7016 MAT</v>
      </c>
      <c r="B236" t="s">
        <v>782</v>
      </c>
      <c r="C236" t="s">
        <v>870</v>
      </c>
      <c r="D236" t="s">
        <v>1059</v>
      </c>
    </row>
    <row r="237" spans="1:4">
      <c r="A237" s="20" t="str">
        <f t="shared" si="11"/>
        <v>PIEDS (Lot de 2) 3500 9010 BRILLANT</v>
      </c>
      <c r="B237" t="s">
        <v>783</v>
      </c>
      <c r="C237" t="s">
        <v>871</v>
      </c>
      <c r="D237" t="s">
        <v>1060</v>
      </c>
    </row>
    <row r="238" spans="1:4">
      <c r="A238" s="20" t="str">
        <f t="shared" ref="A238:A253" si="12">INDEX(B238:E238,$B$1)</f>
        <v>KIT 4 SPOTS LED 3000°K</v>
      </c>
      <c r="B238" t="s">
        <v>676</v>
      </c>
      <c r="C238" t="s">
        <v>872</v>
      </c>
      <c r="D238" t="s">
        <v>1061</v>
      </c>
    </row>
    <row r="239" spans="1:4">
      <c r="A239" s="20" t="str">
        <f t="shared" si="12"/>
        <v>KIT 2 SPOTS LED 3000°K</v>
      </c>
      <c r="B239" t="s">
        <v>677</v>
      </c>
      <c r="C239" t="s">
        <v>873</v>
      </c>
      <c r="D239" t="s">
        <v>1062</v>
      </c>
    </row>
    <row r="240" spans="1:4">
      <c r="A240" s="20" t="str">
        <f t="shared" si="12"/>
        <v>sous face X3 : 980x2530 mm</v>
      </c>
      <c r="B240" t="s">
        <v>416</v>
      </c>
      <c r="C240" t="s">
        <v>874</v>
      </c>
      <c r="D240" t="s">
        <v>1063</v>
      </c>
    </row>
    <row r="241" spans="1:4">
      <c r="A241" s="20" t="str">
        <f t="shared" si="12"/>
        <v>sous face X2 : 980x3390 mm</v>
      </c>
      <c r="B241" t="s">
        <v>417</v>
      </c>
      <c r="C241" t="s">
        <v>875</v>
      </c>
      <c r="D241" t="s">
        <v>1064</v>
      </c>
    </row>
    <row r="242" spans="1:4">
      <c r="A242" s="20" t="str">
        <f t="shared" si="12"/>
        <v>kit 2 embases pieds Ombrière</v>
      </c>
      <c r="B242" t="s">
        <v>767</v>
      </c>
      <c r="C242" t="s">
        <v>877</v>
      </c>
      <c r="D242" t="s">
        <v>1065</v>
      </c>
    </row>
    <row r="243" spans="1:4">
      <c r="A243" s="20" t="str">
        <f t="shared" si="12"/>
        <v>KIT VISSERIE SHADOW SOLAR EVO 1E</v>
      </c>
      <c r="B243" t="s">
        <v>769</v>
      </c>
      <c r="C243" t="s">
        <v>876</v>
      </c>
      <c r="D243" t="s">
        <v>1023</v>
      </c>
    </row>
    <row r="244" spans="1:4">
      <c r="A244" s="20" t="str">
        <f t="shared" si="12"/>
        <v>Joint pour assemblage ombrières 12 m</v>
      </c>
      <c r="B244" t="s">
        <v>796</v>
      </c>
      <c r="C244" t="s">
        <v>888</v>
      </c>
      <c r="D244" t="s">
        <v>1024</v>
      </c>
    </row>
    <row r="245" spans="1:4">
      <c r="A245" s="20" t="str">
        <f t="shared" si="12"/>
        <v>Lot de 4 éclisses de bandeau</v>
      </c>
      <c r="B245" t="s">
        <v>795</v>
      </c>
      <c r="C245" t="s">
        <v>889</v>
      </c>
      <c r="D245" t="s">
        <v>1025</v>
      </c>
    </row>
    <row r="246" spans="1:4">
      <c r="A246" s="20" t="str">
        <f t="shared" si="12"/>
        <v>FRAIS DE LIVRAISON grande Shadow (pour Shadow autres que 2x2)</v>
      </c>
      <c r="B246" t="s">
        <v>837</v>
      </c>
      <c r="C246" t="s">
        <v>878</v>
      </c>
      <c r="D246" t="s">
        <v>1066</v>
      </c>
    </row>
    <row r="247" spans="1:4">
      <c r="A247" s="20" t="str">
        <f t="shared" si="12"/>
        <v>FRAIS DE LIVRAISON petite Shadow Solar EVO (pour les shadow 2X2)</v>
      </c>
      <c r="B247" t="s">
        <v>839</v>
      </c>
      <c r="C247" t="s">
        <v>879</v>
      </c>
      <c r="D247" t="s">
        <v>1067</v>
      </c>
    </row>
    <row r="248" spans="1:4">
      <c r="A248" s="20" t="str">
        <f t="shared" si="12"/>
        <v>Inclus</v>
      </c>
      <c r="B248" t="s">
        <v>787</v>
      </c>
      <c r="C248" t="s">
        <v>881</v>
      </c>
      <c r="D248" t="s">
        <v>1026</v>
      </c>
    </row>
    <row r="249" spans="1:4">
      <c r="A249" s="20" t="str">
        <f t="shared" si="12"/>
        <v>Ligne(s) de Module(s) photovoltaïque(s)</v>
      </c>
      <c r="B249" t="s">
        <v>449</v>
      </c>
      <c r="C249" t="s">
        <v>882</v>
      </c>
      <c r="D249" t="s">
        <v>1027</v>
      </c>
    </row>
    <row r="250" spans="1:4">
      <c r="A250" s="20" t="str">
        <f t="shared" si="12"/>
        <v>Dimensions Shadow Solar Evolution*</v>
      </c>
      <c r="B250" t="s">
        <v>883</v>
      </c>
      <c r="C250" t="s">
        <v>884</v>
      </c>
      <c r="D250" t="s">
        <v>1028</v>
      </c>
    </row>
    <row r="251" spans="1:4">
      <c r="A251" s="20" t="str">
        <f t="shared" si="12"/>
        <v>* sans les embases pieds</v>
      </c>
      <c r="B251" t="s">
        <v>675</v>
      </c>
      <c r="C251" t="s">
        <v>885</v>
      </c>
      <c r="D251" t="s">
        <v>1029</v>
      </c>
    </row>
    <row r="252" spans="1:4">
      <c r="A252" s="20" t="str">
        <f t="shared" si="12"/>
        <v>Modules PV</v>
      </c>
      <c r="B252" t="s">
        <v>674</v>
      </c>
      <c r="C252" t="s">
        <v>886</v>
      </c>
      <c r="D252" t="s">
        <v>1030</v>
      </c>
    </row>
    <row r="253" spans="1:4">
      <c r="A253" s="20" t="str">
        <f t="shared" si="12"/>
        <v>Surface au sol (m²)</v>
      </c>
      <c r="B253" t="s">
        <v>1071</v>
      </c>
      <c r="C253" t="s">
        <v>1072</v>
      </c>
      <c r="D253" s="444" t="s">
        <v>1127</v>
      </c>
    </row>
    <row r="254" spans="1:4">
      <c r="A254" s="20" t="str">
        <f t="shared" ref="A254:A264" si="13">INDEX(B254:E254,$B$1)</f>
        <v>Puissance crête* (kWc)</v>
      </c>
      <c r="B254" s="84" t="s">
        <v>1073</v>
      </c>
      <c r="C254" t="s">
        <v>1074</v>
      </c>
      <c r="D254" s="444" t="s">
        <v>1128</v>
      </c>
    </row>
    <row r="255" spans="1:4">
      <c r="A255" s="20" t="str">
        <f t="shared" si="13"/>
        <v>*Puissance du module PV à renseigner dans l'onglet Définition</v>
      </c>
      <c r="B255" t="s">
        <v>1075</v>
      </c>
      <c r="C255" t="s">
        <v>1118</v>
      </c>
      <c r="D255" s="444" t="s">
        <v>1129</v>
      </c>
    </row>
    <row r="256" spans="1:4">
      <c r="A256" s="20" t="str">
        <f t="shared" si="13"/>
        <v>L x l x Hauteur 2728mm (Hauteur de pied 2400mm)</v>
      </c>
      <c r="B256" t="s">
        <v>1068</v>
      </c>
      <c r="C256" t="s">
        <v>1119</v>
      </c>
      <c r="D256" s="444" t="s">
        <v>1130</v>
      </c>
    </row>
    <row r="257" spans="1:4">
      <c r="A257" s="20" t="str">
        <f t="shared" si="13"/>
        <v>PRIX STRUCTURE SEULE</v>
      </c>
      <c r="B257" t="s">
        <v>1076</v>
      </c>
      <c r="C257" t="s">
        <v>1077</v>
      </c>
      <c r="D257" s="444" t="s">
        <v>1131</v>
      </c>
    </row>
    <row r="258" spans="1:4">
      <c r="A258" s="20" t="str">
        <f t="shared" si="13"/>
        <v>Version 2 PIEDS</v>
      </c>
      <c r="B258" t="s">
        <v>1078</v>
      </c>
      <c r="C258" t="s">
        <v>1079</v>
      </c>
      <c r="D258" s="444" t="s">
        <v>1132</v>
      </c>
    </row>
    <row r="259" spans="1:4">
      <c r="A259" s="20" t="str">
        <f t="shared" si="13"/>
        <v>Version 4 PIEDS</v>
      </c>
      <c r="B259" t="s">
        <v>1080</v>
      </c>
      <c r="C259" t="s">
        <v>1081</v>
      </c>
      <c r="D259" s="444" t="s">
        <v>1133</v>
      </c>
    </row>
    <row r="260" spans="1:4">
      <c r="A260" s="20" t="str">
        <f t="shared" si="13"/>
        <v>PRIX EQUIPEMENT 100% PHOTOVOLTAÏQUE</v>
      </c>
      <c r="B260" t="s">
        <v>1082</v>
      </c>
      <c r="C260" s="446" t="s">
        <v>1158</v>
      </c>
      <c r="D260" s="444" t="s">
        <v>1134</v>
      </c>
    </row>
    <row r="261" spans="1:4">
      <c r="A261" s="20" t="str">
        <f t="shared" si="13"/>
        <v>(Modules, micro-onduleurs, câbles, coffret de protection)</v>
      </c>
      <c r="B261" t="s">
        <v>1083</v>
      </c>
      <c r="C261" s="446" t="s">
        <v>1159</v>
      </c>
      <c r="D261" s="444" t="s">
        <v>1135</v>
      </c>
    </row>
    <row r="262" spans="1:4">
      <c r="A262" s="20" t="str">
        <f t="shared" si="13"/>
        <v>Prix Public recommandé</v>
      </c>
      <c r="B262" t="s">
        <v>1084</v>
      </c>
      <c r="C262" t="s">
        <v>1085</v>
      </c>
      <c r="D262" s="444" t="s">
        <v>1136</v>
      </c>
    </row>
    <row r="263" spans="1:4">
      <c r="A263" s="20" t="str">
        <f t="shared" si="13"/>
        <v>OPTIONS</v>
      </c>
      <c r="B263" t="s">
        <v>1086</v>
      </c>
      <c r="C263" t="s">
        <v>1086</v>
      </c>
      <c r="D263" s="444" t="s">
        <v>1137</v>
      </c>
    </row>
    <row r="264" spans="1:4">
      <c r="A264" s="20" t="str">
        <f t="shared" si="13"/>
        <v>BIOCLIMATIQUE</v>
      </c>
      <c r="B264" t="s">
        <v>1087</v>
      </c>
      <c r="C264" t="s">
        <v>1088</v>
      </c>
      <c r="D264" s="444" t="s">
        <v>1138</v>
      </c>
    </row>
    <row r="265" spans="1:4">
      <c r="A265" s="20" t="str">
        <f t="shared" ref="A265:A284" si="14">INDEX(B265:E265,$B$1)</f>
        <v xml:space="preserve"> (1 rangée de 5 lames + actionneur)</v>
      </c>
      <c r="B265" t="s">
        <v>1089</v>
      </c>
      <c r="C265" t="s">
        <v>1090</v>
      </c>
      <c r="D265" s="444" t="s">
        <v>1139</v>
      </c>
    </row>
    <row r="266" spans="1:4">
      <c r="A266" s="20" t="str">
        <f t="shared" si="14"/>
        <v>STRIP LED PERIPHERIQUE</v>
      </c>
      <c r="B266" t="s">
        <v>1091</v>
      </c>
      <c r="C266" t="s">
        <v>1092</v>
      </c>
      <c r="D266" s="444" t="s">
        <v>1140</v>
      </c>
    </row>
    <row r="267" spans="1:4">
      <c r="A267" s="20" t="str">
        <f t="shared" si="14"/>
        <v>SPOTS LED ENCASTRABLES</v>
      </c>
      <c r="B267" t="s">
        <v>1093</v>
      </c>
      <c r="C267" t="s">
        <v>1094</v>
      </c>
      <c r="D267" s="444" t="s">
        <v>1141</v>
      </c>
    </row>
    <row r="268" spans="1:4">
      <c r="A268" s="20" t="str">
        <f t="shared" si="14"/>
        <v>SCREEN PERIPHERIQUE</v>
      </c>
      <c r="B268" t="s">
        <v>1095</v>
      </c>
      <c r="C268" t="s">
        <v>1096</v>
      </c>
      <c r="D268" s="444" t="s">
        <v>1142</v>
      </c>
    </row>
    <row r="269" spans="1:4">
      <c r="A269" s="20" t="str">
        <f t="shared" si="14"/>
        <v>HABILLAGE</v>
      </c>
      <c r="B269" t="s">
        <v>1097</v>
      </c>
      <c r="C269" t="s">
        <v>1098</v>
      </c>
      <c r="D269" s="444" t="s">
        <v>1143</v>
      </c>
    </row>
    <row r="270" spans="1:4">
      <c r="A270" s="20" t="str">
        <f t="shared" si="14"/>
        <v xml:space="preserve">à partir de </v>
      </c>
      <c r="B270" t="s">
        <v>1099</v>
      </c>
      <c r="C270" t="s">
        <v>1100</v>
      </c>
      <c r="D270" s="444" t="s">
        <v>1144</v>
      </c>
    </row>
    <row r="271" spans="1:4">
      <c r="A271" s="20" t="str">
        <f t="shared" si="14"/>
        <v>TARIF LIVRAISON (France continentale uniquement)</v>
      </c>
      <c r="B271" t="s">
        <v>1123</v>
      </c>
      <c r="C271" t="s">
        <v>1117</v>
      </c>
      <c r="D271" s="444" t="s">
        <v>1145</v>
      </c>
    </row>
    <row r="272" spans="1:4">
      <c r="A272" s="20" t="str">
        <f t="shared" si="14"/>
        <v>Base de Tarif Prix Publics hors remise</v>
      </c>
      <c r="B272" t="s">
        <v>1101</v>
      </c>
      <c r="C272" t="s">
        <v>1102</v>
      </c>
      <c r="D272" s="444" t="s">
        <v>1146</v>
      </c>
    </row>
    <row r="273" spans="1:4">
      <c r="A273" s="20" t="str">
        <f t="shared" si="14"/>
        <v>Tarifs valables au</v>
      </c>
      <c r="B273" t="s">
        <v>1103</v>
      </c>
      <c r="C273" s="446" t="s">
        <v>1160</v>
      </c>
      <c r="D273" s="444" t="s">
        <v>1147</v>
      </c>
    </row>
    <row r="274" spans="1:4">
      <c r="A274" s="20" t="str">
        <f t="shared" si="14"/>
        <v>Ce document est purement informatif et ne peut être tenu pour une base contractuelle. Prix basés sur version 1F.</v>
      </c>
      <c r="B274" t="s">
        <v>1172</v>
      </c>
      <c r="C274" t="s">
        <v>1104</v>
      </c>
      <c r="D274" s="444" t="s">
        <v>1148</v>
      </c>
    </row>
    <row r="275" spans="1:4">
      <c r="A275" s="20" t="str">
        <f t="shared" si="14"/>
        <v>Pour plus de précision, merci de remplir l'onglet "Définition SHADOW SOLAR EVO"</v>
      </c>
      <c r="B275" t="s">
        <v>1070</v>
      </c>
      <c r="C275" t="s">
        <v>1116</v>
      </c>
      <c r="D275" s="444" t="s">
        <v>1149</v>
      </c>
    </row>
    <row r="276" spans="1:4">
      <c r="A276" s="20" t="str">
        <f t="shared" si="14"/>
        <v xml:space="preserve">Pour tout renseignement, contactez notre service commercial : </v>
      </c>
      <c r="B276" t="s">
        <v>1105</v>
      </c>
      <c r="C276" t="s">
        <v>1106</v>
      </c>
      <c r="D276" s="444" t="s">
        <v>1150</v>
      </c>
    </row>
    <row r="277" spans="1:4">
      <c r="A277" s="20" t="str">
        <f t="shared" si="14"/>
        <v xml:space="preserve">commercial.france@irfts.com </v>
      </c>
      <c r="B277" s="443" t="s">
        <v>1107</v>
      </c>
      <c r="C277" s="443" t="s">
        <v>1108</v>
      </c>
      <c r="D277" s="445" t="s">
        <v>1151</v>
      </c>
    </row>
    <row r="278" spans="1:4">
      <c r="A278" s="20" t="str">
        <f t="shared" si="14"/>
        <v>IMPLANTATION ET ORIENTATION DES FORMATS</v>
      </c>
      <c r="B278" t="s">
        <v>1109</v>
      </c>
      <c r="C278" t="s">
        <v>1110</v>
      </c>
      <c r="D278" s="444" t="s">
        <v>1152</v>
      </c>
    </row>
    <row r="279" spans="1:4">
      <c r="A279" s="20" t="str">
        <f t="shared" si="14"/>
        <v>modules PV</v>
      </c>
      <c r="B279" t="s">
        <v>1111</v>
      </c>
      <c r="C279" t="s">
        <v>1112</v>
      </c>
      <c r="D279" s="444" t="s">
        <v>1153</v>
      </c>
    </row>
    <row r="280" spans="1:4">
      <c r="A280" s="20" t="str">
        <f t="shared" si="14"/>
        <v>Vue rapide - Définition tarifaire IRFTS SHADOW SOLAR EVOLUTION - Prix Publics HT</v>
      </c>
      <c r="B280" t="s">
        <v>1124</v>
      </c>
      <c r="C280" t="s">
        <v>1125</v>
      </c>
      <c r="D280" s="444" t="s">
        <v>1154</v>
      </c>
    </row>
    <row r="281" spans="1:4">
      <c r="A281" s="20" t="str">
        <f t="shared" si="14"/>
        <v>Matériel photovoltaïque</v>
      </c>
      <c r="B281" t="s">
        <v>1113</v>
      </c>
      <c r="C281" s="446" t="s">
        <v>1161</v>
      </c>
      <c r="D281" s="444" t="s">
        <v>1155</v>
      </c>
    </row>
    <row r="282" spans="1:4">
      <c r="A282" s="20" t="str">
        <f t="shared" si="14"/>
        <v>Référence : module PV de 300 Wc</v>
      </c>
      <c r="B282" t="s">
        <v>1114</v>
      </c>
      <c r="C282" t="s">
        <v>1115</v>
      </c>
      <c r="D282" s="444" t="s">
        <v>1156</v>
      </c>
    </row>
    <row r="283" spans="1:4">
      <c r="A283" s="20" t="str">
        <f t="shared" si="14"/>
        <v>PIEDS H=3500 mm</v>
      </c>
      <c r="B283" t="s">
        <v>1121</v>
      </c>
      <c r="C283" t="s">
        <v>1120</v>
      </c>
      <c r="D283" t="s">
        <v>1157</v>
      </c>
    </row>
    <row r="284" spans="1:4">
      <c r="A284" s="20" t="str">
        <f t="shared" si="14"/>
        <v>Lot de 2</v>
      </c>
      <c r="B284" t="s">
        <v>1069</v>
      </c>
      <c r="C284" t="s">
        <v>1122</v>
      </c>
      <c r="D284" t="s">
        <v>1126</v>
      </c>
    </row>
    <row r="285" spans="1:4">
      <c r="A285" s="20" t="str">
        <f>INDEX(B285:E285,$B$1)</f>
        <v>KIT VISSERIE SHADOW SOLAR EVO 1F</v>
      </c>
      <c r="B285" t="s">
        <v>1167</v>
      </c>
      <c r="C285" t="s">
        <v>1168</v>
      </c>
      <c r="D285" t="s">
        <v>1169</v>
      </c>
    </row>
    <row r="286" spans="1:4">
      <c r="A286" s="20" t="str">
        <f t="shared" ref="A286:A297" si="15">INDEX(B286:E286,$B$1)</f>
        <v>NOTA : Livraison des plaques de Makrolon par UDV 60 pcs.</v>
      </c>
      <c r="B286" t="s">
        <v>1170</v>
      </c>
      <c r="C286" t="s">
        <v>1171</v>
      </c>
    </row>
    <row r="287" spans="1:4">
      <c r="A287" s="20" t="str">
        <f t="shared" si="15"/>
        <v>BELGIQUE / LUXEMBOURG</v>
      </c>
      <c r="B287" s="20" t="s">
        <v>1173</v>
      </c>
      <c r="C287" s="20" t="s">
        <v>1174</v>
      </c>
      <c r="D287" s="20" t="s">
        <v>1175</v>
      </c>
    </row>
    <row r="288" spans="1:4">
      <c r="A288" s="20" t="str">
        <f t="shared" si="15"/>
        <v>FRANCE CONTINENTALE</v>
      </c>
      <c r="B288" s="447" t="s">
        <v>1176</v>
      </c>
      <c r="C288" t="s">
        <v>1177</v>
      </c>
      <c r="D288" t="s">
        <v>1178</v>
      </c>
    </row>
    <row r="289" spans="1:5">
      <c r="A289" s="20" t="str">
        <f t="shared" si="15"/>
        <v>(disponible uniquement en France continentale, Belgique et Luxembourg)</v>
      </c>
      <c r="B289" t="s">
        <v>1179</v>
      </c>
      <c r="C289" t="s">
        <v>1180</v>
      </c>
      <c r="D289" t="s">
        <v>1181</v>
      </c>
    </row>
    <row r="290" spans="1:5">
      <c r="A290" s="20" t="str">
        <f t="shared" si="15"/>
        <v>Lieu de livraison :</v>
      </c>
      <c r="B290" t="s">
        <v>1182</v>
      </c>
      <c r="C290" t="s">
        <v>1183</v>
      </c>
      <c r="D290" t="s">
        <v>1184</v>
      </c>
    </row>
    <row r="291" spans="1:5">
      <c r="A291" s="20" t="str">
        <f t="shared" si="15"/>
        <v>Forfait Belgique/Luxembourg</v>
      </c>
      <c r="B291" t="s">
        <v>1185</v>
      </c>
      <c r="C291" t="s">
        <v>1186</v>
      </c>
      <c r="D291" t="s">
        <v>1187</v>
      </c>
    </row>
    <row r="292" spans="1:5">
      <c r="A292" s="20" t="str">
        <f t="shared" si="15"/>
        <v>Nomenclature des SHADOW SOLAR EVOLUTION</v>
      </c>
      <c r="B292" s="23" t="s">
        <v>1197</v>
      </c>
      <c r="C292" s="21" t="s">
        <v>1198</v>
      </c>
      <c r="D292" s="21" t="s">
        <v>1199</v>
      </c>
      <c r="E292" s="21" t="s">
        <v>1200</v>
      </c>
    </row>
    <row r="293" spans="1:5">
      <c r="A293" s="20">
        <f t="shared" si="15"/>
        <v>0</v>
      </c>
    </row>
    <row r="294" spans="1:5">
      <c r="A294" s="20">
        <f t="shared" si="15"/>
        <v>0</v>
      </c>
    </row>
    <row r="295" spans="1:5">
      <c r="A295" s="20">
        <f t="shared" si="15"/>
        <v>0</v>
      </c>
    </row>
    <row r="296" spans="1:5">
      <c r="A296" s="20">
        <f t="shared" si="15"/>
        <v>0</v>
      </c>
    </row>
    <row r="297" spans="1:5">
      <c r="A297" s="20">
        <f t="shared" si="15"/>
        <v>0</v>
      </c>
    </row>
  </sheetData>
  <customSheetViews>
    <customSheetView guid="{D8D7B009-33DC-454B-9FCD-4FE65C8432CF}">
      <pane xSplit="1" ySplit="7" topLeftCell="B176" activePane="bottomRight" state="frozen"/>
      <selection pane="bottomRight" activeCell="B191" sqref="B191"/>
      <pageMargins left="0.7" right="0.7" top="0.75" bottom="0.75" header="0.3" footer="0.3"/>
      <pageSetup paperSize="9" orientation="portrait" r:id="rId1"/>
    </customSheetView>
  </customSheetViews>
  <conditionalFormatting sqref="B216:B222">
    <cfRule type="expression" dxfId="6" priority="11">
      <formula>$N$7&gt;0</formula>
    </cfRule>
  </conditionalFormatting>
  <conditionalFormatting sqref="B223">
    <cfRule type="expression" dxfId="5" priority="8">
      <formula>$O$7&gt;0</formula>
    </cfRule>
  </conditionalFormatting>
  <conditionalFormatting sqref="B224">
    <cfRule type="expression" dxfId="4" priority="6">
      <formula>$I224&gt;0</formula>
    </cfRule>
  </conditionalFormatting>
  <conditionalFormatting sqref="C223">
    <cfRule type="expression" dxfId="3" priority="5">
      <formula>$O$7&gt;0</formula>
    </cfRule>
  </conditionalFormatting>
  <hyperlinks>
    <hyperlink ref="B277" r:id="rId2" xr:uid="{00000000-0004-0000-0300-000000000000}"/>
    <hyperlink ref="C277" r:id="rId3" xr:uid="{00000000-0004-0000-0300-000001000000}"/>
    <hyperlink ref="D277" r:id="rId4" xr:uid="{00000000-0004-0000-0300-000002000000}"/>
  </hyperlinks>
  <pageMargins left="0.7" right="0.7" top="0.75" bottom="0.75" header="0.3" footer="0.3"/>
  <pageSetup paperSize="9" orientation="portrait"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1:R55"/>
  <sheetViews>
    <sheetView zoomScale="70" zoomScaleNormal="70" workbookViewId="0">
      <selection activeCell="I36" sqref="I36"/>
    </sheetView>
  </sheetViews>
  <sheetFormatPr baseColWidth="10" defaultColWidth="11.42578125" defaultRowHeight="15"/>
  <cols>
    <col min="1" max="1" width="11.42578125" style="2" customWidth="1"/>
    <col min="2" max="2" width="12.5703125" style="2" customWidth="1"/>
    <col min="3" max="3" width="19.28515625" style="2" customWidth="1"/>
    <col min="4" max="4" width="13.5703125" style="2" customWidth="1"/>
    <col min="5" max="5" width="45.42578125" style="2" customWidth="1"/>
    <col min="6" max="6" width="16" style="2" customWidth="1"/>
    <col min="7" max="8" width="12.7109375" style="2" customWidth="1"/>
    <col min="9" max="9" width="18" style="2" customWidth="1"/>
    <col min="10" max="10" width="22.5703125" style="2" customWidth="1"/>
    <col min="11" max="11" width="24.140625" style="2" customWidth="1"/>
    <col min="12" max="12" width="12.7109375" style="2" customWidth="1"/>
    <col min="13" max="13" width="13.5703125" style="2" customWidth="1"/>
    <col min="14" max="15" width="7.42578125" style="2" customWidth="1"/>
    <col min="16" max="18" width="17.7109375" style="2" customWidth="1"/>
    <col min="19" max="16384" width="11.42578125" style="2"/>
  </cols>
  <sheetData>
    <row r="1" spans="1:18" ht="58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8" ht="39" customHeight="1" thickTop="1">
      <c r="A2" s="504" t="s">
        <v>35</v>
      </c>
      <c r="B2" s="505"/>
      <c r="C2" s="506"/>
      <c r="D2" s="31"/>
      <c r="E2" s="2" t="s">
        <v>394</v>
      </c>
    </row>
    <row r="3" spans="1:18" ht="24" thickBot="1">
      <c r="A3" s="32"/>
      <c r="B3" s="39"/>
      <c r="C3" s="33"/>
      <c r="E3" s="507" t="str">
        <f>Traduction!A9</f>
        <v>Définition tarifaire des SHADOW SOLAR EVOLUTION</v>
      </c>
      <c r="F3" s="507"/>
      <c r="G3" s="507"/>
      <c r="H3" s="507"/>
      <c r="I3" s="507"/>
      <c r="J3" s="507"/>
      <c r="K3" s="507"/>
      <c r="L3" s="507"/>
      <c r="M3" s="61"/>
    </row>
    <row r="4" spans="1:18" ht="12.75" customHeight="1" thickTop="1">
      <c r="E4" s="3"/>
      <c r="F4" s="3"/>
      <c r="G4" s="3"/>
      <c r="H4" s="3"/>
      <c r="I4" s="3"/>
      <c r="J4" s="3"/>
      <c r="K4" s="3"/>
      <c r="L4" s="3"/>
      <c r="M4" s="3"/>
    </row>
    <row r="5" spans="1:18" ht="15.75" customHeight="1">
      <c r="A5" s="4"/>
      <c r="B5" s="4"/>
      <c r="E5" s="508" t="str">
        <f>Traduction!A154</f>
        <v>Ajouter le code couleur à la référence (9010 ou 7016 ou 7016M ou ….)</v>
      </c>
      <c r="F5" s="508"/>
      <c r="G5" s="508"/>
      <c r="H5" s="508"/>
      <c r="I5" s="508"/>
      <c r="J5" s="508"/>
      <c r="K5" s="508"/>
      <c r="L5" s="508"/>
      <c r="M5" s="62"/>
      <c r="N5" s="4"/>
      <c r="O5" s="4"/>
    </row>
    <row r="6" spans="1:18" ht="15.75" customHeight="1">
      <c r="A6" s="4" t="str">
        <f>Traduction!A155</f>
        <v>Si besoin d'une palette suppplémentaire, ajout d'un forfait de 50€ pour l'emballage.</v>
      </c>
      <c r="B6" s="4"/>
      <c r="E6" s="63"/>
      <c r="F6" s="63"/>
      <c r="G6" s="63"/>
      <c r="H6" s="63"/>
      <c r="I6" s="63"/>
      <c r="J6" s="63"/>
      <c r="K6" s="63"/>
      <c r="L6" s="63"/>
      <c r="M6" s="62"/>
      <c r="N6" s="4"/>
      <c r="O6" s="4"/>
    </row>
    <row r="7" spans="1:18" ht="15.75" customHeight="1">
      <c r="A7" s="4"/>
      <c r="B7" s="4"/>
      <c r="E7" s="63"/>
      <c r="F7" s="63"/>
      <c r="G7" s="63"/>
      <c r="H7" s="63"/>
      <c r="I7" s="63"/>
      <c r="J7" s="63"/>
      <c r="K7" s="63"/>
      <c r="L7" s="63"/>
      <c r="M7" s="62"/>
      <c r="N7" s="4"/>
      <c r="O7" s="4"/>
    </row>
    <row r="8" spans="1:18">
      <c r="E8" s="58"/>
    </row>
    <row r="9" spans="1:18" ht="15.75" thickBot="1">
      <c r="A9" s="500" t="str">
        <f>Traduction!B29</f>
        <v>Nomenclature IRFTS</v>
      </c>
      <c r="B9" s="501"/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</row>
    <row r="10" spans="1:18" ht="32.1" customHeight="1">
      <c r="A10" s="502" t="str">
        <f>Traduction!A31</f>
        <v>Référence</v>
      </c>
      <c r="B10" s="503"/>
      <c r="C10" s="5" t="str">
        <f>Traduction!A35</f>
        <v>Dimensions colis</v>
      </c>
      <c r="D10" s="5" t="str">
        <f>Traduction!A36</f>
        <v>Poids (Kg)</v>
      </c>
      <c r="E10" s="5" t="str">
        <f>Traduction!A37</f>
        <v>Désignation</v>
      </c>
      <c r="F10" s="53" t="str">
        <f>Traduction!A143</f>
        <v>Complément</v>
      </c>
      <c r="G10" s="53" t="str">
        <f>Traduction!A38</f>
        <v>Qté Total</v>
      </c>
      <c r="H10" s="53" t="str">
        <f>Traduction!A40</f>
        <v>UDV</v>
      </c>
      <c r="I10" s="52" t="str">
        <f>Traduction!A41</f>
        <v>Prix Public unitaire €HT</v>
      </c>
      <c r="J10" s="51" t="str">
        <f>+Traduction!A43</f>
        <v>Prix unitaire après remise €HT</v>
      </c>
      <c r="K10" s="51" t="str">
        <f>+Traduction!A141</f>
        <v>Prix total après remise €HT</v>
      </c>
    </row>
    <row r="11" spans="1:18">
      <c r="A11" s="43" t="s">
        <v>179</v>
      </c>
      <c r="B11" s="40"/>
      <c r="C11" s="6"/>
      <c r="D11" s="7"/>
      <c r="E11" s="6" t="str">
        <f>Traduction!A170</f>
        <v>CANIVEAU 2x</v>
      </c>
      <c r="F11" s="59"/>
      <c r="G11" s="48">
        <f>F11</f>
        <v>0</v>
      </c>
      <c r="H11" s="47">
        <v>1</v>
      </c>
      <c r="I11" s="8">
        <v>250</v>
      </c>
      <c r="J11" s="8">
        <f t="shared" ref="J11:J23" si="0">I11*(1-$I$51)</f>
        <v>250</v>
      </c>
      <c r="K11" s="8">
        <f>ROUNDUP(G11/H11,0)*H11*J11</f>
        <v>0</v>
      </c>
    </row>
    <row r="12" spans="1:18">
      <c r="A12" s="44" t="s">
        <v>183</v>
      </c>
      <c r="B12" s="41"/>
      <c r="C12" s="9"/>
      <c r="D12" s="10"/>
      <c r="E12" s="9" t="str">
        <f>Traduction!A171</f>
        <v>CANIVEAU 3x</v>
      </c>
      <c r="F12" s="59"/>
      <c r="G12" s="48">
        <f t="shared" ref="G12:G47" si="1">F12</f>
        <v>0</v>
      </c>
      <c r="H12" s="47">
        <v>1</v>
      </c>
      <c r="I12" s="11">
        <v>373</v>
      </c>
      <c r="J12" s="11">
        <f t="shared" si="0"/>
        <v>373</v>
      </c>
      <c r="K12" s="11">
        <f t="shared" ref="K12:K17" si="2">ROUNDUP(G12/H12,0)*H12*J12</f>
        <v>0</v>
      </c>
    </row>
    <row r="13" spans="1:18">
      <c r="A13" s="65" t="s">
        <v>184</v>
      </c>
      <c r="B13" s="66"/>
      <c r="C13" s="67"/>
      <c r="D13" s="68"/>
      <c r="E13" s="67" t="str">
        <f>Traduction!A172</f>
        <v>CANIVEAU 4x</v>
      </c>
      <c r="F13" s="59"/>
      <c r="G13" s="48">
        <f t="shared" si="1"/>
        <v>0</v>
      </c>
      <c r="H13" s="47">
        <v>1</v>
      </c>
      <c r="I13" s="8">
        <v>496</v>
      </c>
      <c r="J13" s="8">
        <f t="shared" si="0"/>
        <v>496</v>
      </c>
      <c r="K13" s="8">
        <f t="shared" si="2"/>
        <v>0</v>
      </c>
    </row>
    <row r="14" spans="1:18">
      <c r="A14" s="44" t="s">
        <v>220</v>
      </c>
      <c r="B14" s="41"/>
      <c r="C14" s="9"/>
      <c r="D14" s="10"/>
      <c r="E14" s="9" t="str">
        <f>Traduction!A173</f>
        <v>GOULOTTE AVANT x2</v>
      </c>
      <c r="F14" s="59"/>
      <c r="G14" s="48">
        <f t="shared" si="1"/>
        <v>0</v>
      </c>
      <c r="H14" s="47">
        <v>1</v>
      </c>
      <c r="I14" s="11">
        <v>158</v>
      </c>
      <c r="J14" s="11">
        <f t="shared" si="0"/>
        <v>158</v>
      </c>
      <c r="K14" s="11">
        <f t="shared" si="2"/>
        <v>0</v>
      </c>
    </row>
    <row r="15" spans="1:18">
      <c r="A15" s="65" t="s">
        <v>219</v>
      </c>
      <c r="B15" s="66"/>
      <c r="C15" s="67"/>
      <c r="D15" s="68"/>
      <c r="E15" s="67" t="str">
        <f>Traduction!A174</f>
        <v>GOULOTTE AVANT x3</v>
      </c>
      <c r="F15" s="59"/>
      <c r="G15" s="48">
        <f t="shared" si="1"/>
        <v>0</v>
      </c>
      <c r="H15" s="47">
        <v>1</v>
      </c>
      <c r="I15" s="8">
        <v>228</v>
      </c>
      <c r="J15" s="8">
        <f t="shared" si="0"/>
        <v>228</v>
      </c>
      <c r="K15" s="8">
        <f t="shared" si="2"/>
        <v>0</v>
      </c>
    </row>
    <row r="16" spans="1:18">
      <c r="A16" s="44" t="s">
        <v>218</v>
      </c>
      <c r="B16" s="41"/>
      <c r="C16" s="9"/>
      <c r="D16" s="10"/>
      <c r="E16" s="9" t="str">
        <f>Traduction!A175</f>
        <v>GOULOTTE ARRIERE x2</v>
      </c>
      <c r="F16" s="59"/>
      <c r="G16" s="48">
        <f t="shared" si="1"/>
        <v>0</v>
      </c>
      <c r="H16" s="47">
        <v>1</v>
      </c>
      <c r="I16" s="11">
        <v>305</v>
      </c>
      <c r="J16" s="11">
        <f t="shared" si="0"/>
        <v>305</v>
      </c>
      <c r="K16" s="11">
        <f t="shared" si="2"/>
        <v>0</v>
      </c>
    </row>
    <row r="17" spans="1:11">
      <c r="A17" s="65" t="s">
        <v>217</v>
      </c>
      <c r="B17" s="66"/>
      <c r="C17" s="67"/>
      <c r="D17" s="68"/>
      <c r="E17" s="67" t="str">
        <f>Traduction!A176</f>
        <v>GOULOTTE ARRIERE x3</v>
      </c>
      <c r="F17" s="59"/>
      <c r="G17" s="48">
        <f t="shared" si="1"/>
        <v>0</v>
      </c>
      <c r="H17" s="47">
        <v>1</v>
      </c>
      <c r="I17" s="8">
        <v>450</v>
      </c>
      <c r="J17" s="8">
        <f t="shared" si="0"/>
        <v>450</v>
      </c>
      <c r="K17" s="8">
        <f t="shared" si="2"/>
        <v>0</v>
      </c>
    </row>
    <row r="18" spans="1:11">
      <c r="A18" s="44" t="s">
        <v>216</v>
      </c>
      <c r="B18" s="41"/>
      <c r="C18" s="9"/>
      <c r="D18" s="10"/>
      <c r="E18" s="9" t="str">
        <f>Traduction!A177</f>
        <v>SPOILER x2</v>
      </c>
      <c r="F18" s="59"/>
      <c r="G18" s="48">
        <f t="shared" si="1"/>
        <v>0</v>
      </c>
      <c r="H18" s="47">
        <v>1</v>
      </c>
      <c r="I18" s="11">
        <v>267</v>
      </c>
      <c r="J18" s="11">
        <f t="shared" si="0"/>
        <v>267</v>
      </c>
      <c r="K18" s="11">
        <f t="shared" ref="K18:K22" si="3">ROUNDUP(G18/H18,0)*H18*J18</f>
        <v>0</v>
      </c>
    </row>
    <row r="19" spans="1:11">
      <c r="A19" s="65" t="s">
        <v>215</v>
      </c>
      <c r="B19" s="66"/>
      <c r="C19" s="67"/>
      <c r="D19" s="68"/>
      <c r="E19" s="67" t="str">
        <f>Traduction!A178</f>
        <v>SPOILER x3</v>
      </c>
      <c r="F19" s="59"/>
      <c r="G19" s="48">
        <f t="shared" si="1"/>
        <v>0</v>
      </c>
      <c r="H19" s="47">
        <v>1</v>
      </c>
      <c r="I19" s="8">
        <v>390</v>
      </c>
      <c r="J19" s="8">
        <f t="shared" si="0"/>
        <v>390</v>
      </c>
      <c r="K19" s="8">
        <f t="shared" si="3"/>
        <v>0</v>
      </c>
    </row>
    <row r="20" spans="1:11">
      <c r="A20" s="44" t="s">
        <v>214</v>
      </c>
      <c r="B20" s="41"/>
      <c r="C20" s="9"/>
      <c r="D20" s="10"/>
      <c r="E20" s="9" t="str">
        <f>Traduction!A179</f>
        <v>ASS.SPOILER x2</v>
      </c>
      <c r="F20" s="59"/>
      <c r="G20" s="48">
        <f t="shared" si="1"/>
        <v>0</v>
      </c>
      <c r="H20" s="47">
        <v>1</v>
      </c>
      <c r="I20" s="11">
        <v>430</v>
      </c>
      <c r="J20" s="11">
        <f t="shared" si="0"/>
        <v>430</v>
      </c>
      <c r="K20" s="11">
        <f t="shared" si="3"/>
        <v>0</v>
      </c>
    </row>
    <row r="21" spans="1:11">
      <c r="A21" s="65" t="s">
        <v>213</v>
      </c>
      <c r="B21" s="66"/>
      <c r="C21" s="67"/>
      <c r="D21" s="68"/>
      <c r="E21" s="67" t="str">
        <f>Traduction!A180</f>
        <v>ASS.SPOILER x3</v>
      </c>
      <c r="F21" s="59"/>
      <c r="G21" s="48">
        <f t="shared" si="1"/>
        <v>0</v>
      </c>
      <c r="H21" s="47">
        <v>1</v>
      </c>
      <c r="I21" s="8">
        <v>623</v>
      </c>
      <c r="J21" s="8">
        <f t="shared" si="0"/>
        <v>623</v>
      </c>
      <c r="K21" s="8">
        <f t="shared" si="3"/>
        <v>0</v>
      </c>
    </row>
    <row r="22" spans="1:11">
      <c r="A22" s="44" t="s">
        <v>212</v>
      </c>
      <c r="B22" s="41"/>
      <c r="C22" s="9"/>
      <c r="D22" s="10"/>
      <c r="E22" s="9" t="str">
        <f>Traduction!A181</f>
        <v>U ETANCHEITE INTER RANGEES x2</v>
      </c>
      <c r="F22" s="59"/>
      <c r="G22" s="48">
        <f t="shared" si="1"/>
        <v>0</v>
      </c>
      <c r="H22" s="47">
        <v>1</v>
      </c>
      <c r="I22" s="11">
        <v>150</v>
      </c>
      <c r="J22" s="11">
        <f t="shared" si="0"/>
        <v>150</v>
      </c>
      <c r="K22" s="11">
        <f t="shared" si="3"/>
        <v>0</v>
      </c>
    </row>
    <row r="23" spans="1:11">
      <c r="A23" s="65" t="s">
        <v>211</v>
      </c>
      <c r="B23" s="66"/>
      <c r="C23" s="67"/>
      <c r="D23" s="68"/>
      <c r="E23" s="67" t="str">
        <f>Traduction!A182</f>
        <v>U ETANCHEITE INTER RANGEES x3</v>
      </c>
      <c r="F23" s="59"/>
      <c r="G23" s="48">
        <f t="shared" si="1"/>
        <v>0</v>
      </c>
      <c r="H23" s="47">
        <v>1</v>
      </c>
      <c r="I23" s="8">
        <v>216</v>
      </c>
      <c r="J23" s="8">
        <f t="shared" si="0"/>
        <v>216</v>
      </c>
      <c r="K23" s="8"/>
    </row>
    <row r="24" spans="1:11">
      <c r="A24" s="44"/>
      <c r="B24" s="41"/>
      <c r="C24" s="9"/>
      <c r="D24" s="10"/>
      <c r="E24" s="9"/>
      <c r="F24" s="64"/>
      <c r="G24" s="48"/>
      <c r="H24" s="47"/>
      <c r="I24" s="11"/>
      <c r="J24" s="11"/>
      <c r="K24" s="11"/>
    </row>
    <row r="25" spans="1:11">
      <c r="A25" s="43"/>
      <c r="B25" s="41"/>
      <c r="C25" s="9"/>
      <c r="D25" s="10"/>
      <c r="E25" s="9"/>
      <c r="F25" s="64"/>
      <c r="G25" s="48"/>
      <c r="H25" s="47"/>
      <c r="I25" s="11"/>
      <c r="J25" s="11"/>
      <c r="K25" s="11"/>
    </row>
    <row r="26" spans="1:11">
      <c r="A26" s="44" t="s">
        <v>210</v>
      </c>
      <c r="B26" s="41"/>
      <c r="C26" s="9"/>
      <c r="D26" s="10"/>
      <c r="E26" s="9" t="str">
        <f>Traduction!A183</f>
        <v>U ETANCHEITE INTER MODULE</v>
      </c>
      <c r="F26" s="64"/>
      <c r="G26" s="48">
        <f t="shared" si="1"/>
        <v>0</v>
      </c>
      <c r="H26" s="47">
        <v>1</v>
      </c>
      <c r="I26" s="11">
        <v>59</v>
      </c>
      <c r="J26" s="11">
        <f t="shared" ref="J26:J35" si="4">I26*(1-$I$51)</f>
        <v>59</v>
      </c>
      <c r="K26" s="11">
        <f t="shared" ref="K26:K32" si="5">ROUNDUP(G26/H26,0)*H26*J26</f>
        <v>0</v>
      </c>
    </row>
    <row r="27" spans="1:11">
      <c r="A27" s="43" t="s">
        <v>209</v>
      </c>
      <c r="B27" s="40"/>
      <c r="C27" s="6"/>
      <c r="D27" s="7"/>
      <c r="E27" s="6" t="str">
        <f>Traduction!A184</f>
        <v>CALLE SERRE PANNEAU</v>
      </c>
      <c r="F27" s="59"/>
      <c r="G27" s="48">
        <f t="shared" si="1"/>
        <v>0</v>
      </c>
      <c r="H27" s="47">
        <v>10</v>
      </c>
      <c r="I27" s="8">
        <v>11</v>
      </c>
      <c r="J27" s="8">
        <f t="shared" si="4"/>
        <v>11</v>
      </c>
      <c r="K27" s="8">
        <f t="shared" si="5"/>
        <v>0</v>
      </c>
    </row>
    <row r="28" spans="1:11">
      <c r="A28" s="44" t="s">
        <v>208</v>
      </c>
      <c r="B28" s="41"/>
      <c r="C28" s="9"/>
      <c r="D28" s="10"/>
      <c r="E28" s="9" t="str">
        <f>Traduction!A185</f>
        <v>FERMETURE SPOILER</v>
      </c>
      <c r="F28" s="59"/>
      <c r="G28" s="48">
        <f t="shared" si="1"/>
        <v>0</v>
      </c>
      <c r="H28" s="47">
        <v>2</v>
      </c>
      <c r="I28" s="11">
        <v>11</v>
      </c>
      <c r="J28" s="11">
        <f t="shared" si="4"/>
        <v>11</v>
      </c>
      <c r="K28" s="11">
        <f t="shared" si="5"/>
        <v>0</v>
      </c>
    </row>
    <row r="29" spans="1:11">
      <c r="A29" s="43" t="s">
        <v>207</v>
      </c>
      <c r="B29" s="40"/>
      <c r="C29" s="6"/>
      <c r="D29" s="7"/>
      <c r="E29" s="6" t="str">
        <f>Traduction!A186</f>
        <v>PLAQUE DE JOINT ETANCHEITE</v>
      </c>
      <c r="F29" s="59"/>
      <c r="G29" s="48">
        <f t="shared" si="1"/>
        <v>0</v>
      </c>
      <c r="H29" s="47">
        <v>1</v>
      </c>
      <c r="I29" s="8">
        <v>80</v>
      </c>
      <c r="J29" s="8">
        <f t="shared" si="4"/>
        <v>80</v>
      </c>
      <c r="K29" s="8">
        <f t="shared" si="5"/>
        <v>0</v>
      </c>
    </row>
    <row r="30" spans="1:11">
      <c r="A30" s="44" t="s">
        <v>206</v>
      </c>
      <c r="B30" s="41"/>
      <c r="C30" s="9"/>
      <c r="D30" s="10"/>
      <c r="E30" s="9" t="str">
        <f>Traduction!A187</f>
        <v>PLAQUE EQUERRAGE</v>
      </c>
      <c r="F30" s="59"/>
      <c r="G30" s="48">
        <f t="shared" si="1"/>
        <v>0</v>
      </c>
      <c r="H30" s="47">
        <v>2</v>
      </c>
      <c r="I30" s="11">
        <v>53</v>
      </c>
      <c r="J30" s="11">
        <f t="shared" si="4"/>
        <v>53</v>
      </c>
      <c r="K30" s="11">
        <f t="shared" si="5"/>
        <v>0</v>
      </c>
    </row>
    <row r="31" spans="1:11">
      <c r="A31" s="65" t="s">
        <v>205</v>
      </c>
      <c r="B31" s="66"/>
      <c r="C31" s="67"/>
      <c r="D31" s="68"/>
      <c r="E31" s="67" t="str">
        <f>Traduction!A188</f>
        <v>SORTIE DE CANIVEAU</v>
      </c>
      <c r="F31" s="59"/>
      <c r="G31" s="48">
        <f t="shared" si="1"/>
        <v>0</v>
      </c>
      <c r="H31" s="47">
        <v>2</v>
      </c>
      <c r="I31" s="8">
        <v>60</v>
      </c>
      <c r="J31" s="8">
        <f t="shared" si="4"/>
        <v>60</v>
      </c>
      <c r="K31" s="8">
        <f t="shared" si="5"/>
        <v>0</v>
      </c>
    </row>
    <row r="32" spans="1:11">
      <c r="A32" s="44" t="s">
        <v>204</v>
      </c>
      <c r="B32" s="41"/>
      <c r="C32" s="9"/>
      <c r="D32" s="10"/>
      <c r="E32" s="9" t="str">
        <f>Traduction!A189</f>
        <v>COMPRIBANDE TRS 15/1-3</v>
      </c>
      <c r="F32" s="59"/>
      <c r="G32" s="48">
        <f t="shared" si="1"/>
        <v>0</v>
      </c>
      <c r="H32" s="47">
        <v>5</v>
      </c>
      <c r="I32" s="11">
        <v>20</v>
      </c>
      <c r="J32" s="11">
        <f t="shared" si="4"/>
        <v>20</v>
      </c>
      <c r="K32" s="11">
        <f t="shared" si="5"/>
        <v>0</v>
      </c>
    </row>
    <row r="33" spans="1:11">
      <c r="A33" s="65" t="s">
        <v>203</v>
      </c>
      <c r="B33" s="66"/>
      <c r="C33" s="67"/>
      <c r="D33" s="68"/>
      <c r="E33" s="67" t="str">
        <f>Traduction!A190</f>
        <v>OUTILLAGE DE MONTAGE</v>
      </c>
      <c r="F33" s="59"/>
      <c r="G33" s="48">
        <f t="shared" si="1"/>
        <v>0</v>
      </c>
      <c r="H33" s="47">
        <v>1</v>
      </c>
      <c r="I33" s="8">
        <v>60</v>
      </c>
      <c r="J33" s="8">
        <f t="shared" si="4"/>
        <v>60</v>
      </c>
      <c r="K33" s="8">
        <f t="shared" ref="K33:K47" si="6">ROUNDUP(G33/H33,0)*H33*J33</f>
        <v>0</v>
      </c>
    </row>
    <row r="34" spans="1:11">
      <c r="A34" s="44" t="s">
        <v>234</v>
      </c>
      <c r="B34" s="41"/>
      <c r="C34" s="9"/>
      <c r="D34" s="10"/>
      <c r="E34" s="9" t="str">
        <f>Traduction!A191</f>
        <v>FINITION LAT. LIGNE AV.+AR.</v>
      </c>
      <c r="F34" s="59"/>
      <c r="G34" s="48">
        <f t="shared" si="1"/>
        <v>0</v>
      </c>
      <c r="H34" s="47">
        <v>1</v>
      </c>
      <c r="I34" s="11">
        <v>214</v>
      </c>
      <c r="J34" s="11">
        <f t="shared" si="4"/>
        <v>214</v>
      </c>
      <c r="K34" s="11">
        <f t="shared" si="6"/>
        <v>0</v>
      </c>
    </row>
    <row r="35" spans="1:11">
      <c r="A35" s="65" t="s">
        <v>235</v>
      </c>
      <c r="B35" s="66"/>
      <c r="C35" s="67"/>
      <c r="D35" s="68"/>
      <c r="E35" s="67" t="str">
        <f>Traduction!A192</f>
        <v>FINITION LAT. A+ 1 LIGNE</v>
      </c>
      <c r="F35" s="59"/>
      <c r="G35" s="48">
        <f t="shared" si="1"/>
        <v>0</v>
      </c>
      <c r="H35" s="47">
        <v>1</v>
      </c>
      <c r="I35" s="8">
        <v>117</v>
      </c>
      <c r="J35" s="8">
        <f t="shared" si="4"/>
        <v>117</v>
      </c>
      <c r="K35" s="8">
        <f t="shared" si="6"/>
        <v>0</v>
      </c>
    </row>
    <row r="36" spans="1:11">
      <c r="A36" s="44"/>
      <c r="B36" s="41"/>
      <c r="C36" s="9"/>
      <c r="D36" s="10"/>
      <c r="E36" s="9"/>
      <c r="F36" s="64"/>
      <c r="G36" s="48"/>
      <c r="H36" s="47"/>
      <c r="I36" s="11"/>
      <c r="J36" s="11"/>
      <c r="K36" s="11"/>
    </row>
    <row r="37" spans="1:11">
      <c r="A37" s="44"/>
      <c r="B37" s="41"/>
      <c r="C37" s="9"/>
      <c r="D37" s="10"/>
      <c r="E37" s="9"/>
      <c r="F37" s="64"/>
      <c r="G37" s="48"/>
      <c r="H37" s="47"/>
      <c r="I37" s="11"/>
      <c r="J37" s="11"/>
      <c r="K37" s="11"/>
    </row>
    <row r="38" spans="1:11">
      <c r="A38" s="44" t="s">
        <v>224</v>
      </c>
      <c r="B38" s="41"/>
      <c r="C38" s="9"/>
      <c r="D38" s="10"/>
      <c r="E38" s="9" t="str">
        <f>Traduction!A193</f>
        <v>GOULOTTE AVANT x2</v>
      </c>
      <c r="F38" s="59"/>
      <c r="G38" s="48">
        <f t="shared" si="1"/>
        <v>0</v>
      </c>
      <c r="H38" s="47">
        <v>1</v>
      </c>
      <c r="I38" s="11">
        <v>158</v>
      </c>
      <c r="J38" s="11">
        <f t="shared" ref="J38:J44" si="7">I38*(1-$I$51)</f>
        <v>158</v>
      </c>
      <c r="K38" s="11">
        <f t="shared" si="6"/>
        <v>0</v>
      </c>
    </row>
    <row r="39" spans="1:11">
      <c r="A39" s="65" t="s">
        <v>226</v>
      </c>
      <c r="B39" s="66"/>
      <c r="C39" s="67"/>
      <c r="D39" s="68"/>
      <c r="E39" s="67" t="str">
        <f>Traduction!A194</f>
        <v>GOULOTTE AVANT x3</v>
      </c>
      <c r="F39" s="59"/>
      <c r="G39" s="48">
        <f t="shared" si="1"/>
        <v>0</v>
      </c>
      <c r="H39" s="47">
        <v>1</v>
      </c>
      <c r="I39" s="8">
        <v>228</v>
      </c>
      <c r="J39" s="11">
        <f t="shared" si="7"/>
        <v>228</v>
      </c>
      <c r="K39" s="11">
        <f t="shared" si="6"/>
        <v>0</v>
      </c>
    </row>
    <row r="40" spans="1:11">
      <c r="A40" s="44" t="s">
        <v>225</v>
      </c>
      <c r="B40" s="41"/>
      <c r="C40" s="9"/>
      <c r="D40" s="10"/>
      <c r="E40" s="9" t="str">
        <f>Traduction!A195</f>
        <v>GOULOTTE ARRIERE x2</v>
      </c>
      <c r="F40" s="59"/>
      <c r="G40" s="48">
        <f t="shared" si="1"/>
        <v>0</v>
      </c>
      <c r="H40" s="47">
        <v>1</v>
      </c>
      <c r="I40" s="11">
        <v>305</v>
      </c>
      <c r="J40" s="11">
        <f t="shared" si="7"/>
        <v>305</v>
      </c>
      <c r="K40" s="11">
        <f t="shared" si="6"/>
        <v>0</v>
      </c>
    </row>
    <row r="41" spans="1:11">
      <c r="A41" s="65" t="s">
        <v>227</v>
      </c>
      <c r="B41" s="66"/>
      <c r="C41" s="67"/>
      <c r="D41" s="68"/>
      <c r="E41" s="67" t="str">
        <f>Traduction!A196</f>
        <v>GOULOTTE ARRIERE x3</v>
      </c>
      <c r="F41" s="59"/>
      <c r="G41" s="48">
        <f t="shared" si="1"/>
        <v>0</v>
      </c>
      <c r="H41" s="47">
        <v>1</v>
      </c>
      <c r="I41" s="8">
        <v>450</v>
      </c>
      <c r="J41" s="11">
        <f t="shared" si="7"/>
        <v>450</v>
      </c>
      <c r="K41" s="11">
        <f t="shared" si="6"/>
        <v>0</v>
      </c>
    </row>
    <row r="42" spans="1:11">
      <c r="A42" s="44" t="s">
        <v>228</v>
      </c>
      <c r="B42" s="41"/>
      <c r="C42" s="9"/>
      <c r="D42" s="10"/>
      <c r="E42" s="9" t="str">
        <f>Traduction!A197</f>
        <v>SPOILER x2</v>
      </c>
      <c r="F42" s="59"/>
      <c r="G42" s="48">
        <f t="shared" si="1"/>
        <v>0</v>
      </c>
      <c r="H42" s="47">
        <v>1</v>
      </c>
      <c r="I42" s="11">
        <v>267</v>
      </c>
      <c r="J42" s="11">
        <f t="shared" si="7"/>
        <v>267</v>
      </c>
      <c r="K42" s="11">
        <f t="shared" si="6"/>
        <v>0</v>
      </c>
    </row>
    <row r="43" spans="1:11">
      <c r="A43" s="65" t="s">
        <v>229</v>
      </c>
      <c r="B43" s="66"/>
      <c r="C43" s="67"/>
      <c r="D43" s="68"/>
      <c r="E43" s="67" t="str">
        <f>Traduction!A198</f>
        <v>SPOILER x3</v>
      </c>
      <c r="F43" s="59"/>
      <c r="G43" s="48">
        <f t="shared" si="1"/>
        <v>0</v>
      </c>
      <c r="H43" s="47">
        <v>1</v>
      </c>
      <c r="I43" s="8">
        <v>390</v>
      </c>
      <c r="J43" s="11">
        <f t="shared" si="7"/>
        <v>390</v>
      </c>
      <c r="K43" s="11">
        <f t="shared" si="6"/>
        <v>0</v>
      </c>
    </row>
    <row r="44" spans="1:11">
      <c r="A44" s="44" t="s">
        <v>232</v>
      </c>
      <c r="B44" s="41"/>
      <c r="C44" s="9"/>
      <c r="D44" s="10"/>
      <c r="E44" s="9" t="str">
        <f>Traduction!A199</f>
        <v>ASS.SPOILER x2</v>
      </c>
      <c r="F44" s="59"/>
      <c r="G44" s="48">
        <f t="shared" si="1"/>
        <v>0</v>
      </c>
      <c r="H44" s="47">
        <v>1</v>
      </c>
      <c r="I44" s="11">
        <v>430</v>
      </c>
      <c r="J44" s="11">
        <f t="shared" si="7"/>
        <v>430</v>
      </c>
      <c r="K44" s="11">
        <f t="shared" si="6"/>
        <v>0</v>
      </c>
    </row>
    <row r="45" spans="1:11">
      <c r="A45" s="65" t="s">
        <v>233</v>
      </c>
      <c r="B45" s="66"/>
      <c r="C45" s="67"/>
      <c r="D45" s="68"/>
      <c r="E45" s="67" t="str">
        <f>Traduction!A200</f>
        <v>ASS.SPOILER x3</v>
      </c>
      <c r="F45" s="59"/>
      <c r="G45" s="48">
        <f t="shared" si="1"/>
        <v>0</v>
      </c>
      <c r="H45" s="47">
        <v>1</v>
      </c>
      <c r="I45" s="8">
        <v>623</v>
      </c>
      <c r="J45" s="11">
        <f t="shared" ref="J45:J47" si="8">I45*(1-$I$51)</f>
        <v>623</v>
      </c>
      <c r="K45" s="11">
        <f t="shared" si="6"/>
        <v>0</v>
      </c>
    </row>
    <row r="46" spans="1:11">
      <c r="A46" s="44" t="s">
        <v>231</v>
      </c>
      <c r="B46" s="41"/>
      <c r="C46" s="9"/>
      <c r="D46" s="10"/>
      <c r="E46" s="9" t="str">
        <f>Traduction!A201</f>
        <v>U ETANCHEITE INTER RANGEES x2</v>
      </c>
      <c r="F46" s="59"/>
      <c r="G46" s="48">
        <f t="shared" si="1"/>
        <v>0</v>
      </c>
      <c r="H46" s="47">
        <v>1</v>
      </c>
      <c r="I46" s="11">
        <v>150</v>
      </c>
      <c r="J46" s="11">
        <f t="shared" si="8"/>
        <v>150</v>
      </c>
      <c r="K46" s="11">
        <f t="shared" si="6"/>
        <v>0</v>
      </c>
    </row>
    <row r="47" spans="1:11">
      <c r="A47" s="65" t="s">
        <v>230</v>
      </c>
      <c r="B47" s="66"/>
      <c r="C47" s="67"/>
      <c r="D47" s="68"/>
      <c r="E47" s="67" t="str">
        <f>Traduction!A202</f>
        <v>U ETANCHEITE INTER RANGEES x3</v>
      </c>
      <c r="F47" s="59"/>
      <c r="G47" s="48">
        <f t="shared" si="1"/>
        <v>0</v>
      </c>
      <c r="H47" s="47">
        <v>1</v>
      </c>
      <c r="I47" s="11">
        <v>216</v>
      </c>
      <c r="J47" s="11">
        <f t="shared" si="8"/>
        <v>216</v>
      </c>
      <c r="K47" s="11">
        <f t="shared" si="6"/>
        <v>0</v>
      </c>
    </row>
    <row r="48" spans="1:11">
      <c r="A48" s="44"/>
      <c r="B48" s="41"/>
      <c r="C48" s="9"/>
      <c r="D48" s="10"/>
      <c r="E48" s="9"/>
      <c r="F48" s="64"/>
      <c r="G48" s="48"/>
      <c r="H48" s="47"/>
      <c r="I48" s="11"/>
      <c r="J48" s="11"/>
      <c r="K48" s="11"/>
    </row>
    <row r="49" spans="1:13" ht="15.75" thickBot="1">
      <c r="A49" s="44"/>
      <c r="B49" s="41"/>
      <c r="C49" s="9"/>
      <c r="D49" s="10"/>
      <c r="E49" s="9"/>
      <c r="F49" s="10"/>
      <c r="G49" s="48"/>
      <c r="H49" s="47"/>
      <c r="I49" s="60"/>
      <c r="J49" s="60"/>
      <c r="K49" s="60"/>
    </row>
    <row r="50" spans="1:13">
      <c r="A50" s="45"/>
      <c r="B50" s="41"/>
      <c r="C50" s="13"/>
      <c r="D50" s="13"/>
      <c r="E50" s="14" t="str">
        <f>Traduction!A56</f>
        <v>Prix Public par pergola €HT</v>
      </c>
      <c r="F50" s="54"/>
      <c r="G50" s="48"/>
      <c r="I50" s="14" t="str">
        <f>Traduction!A58</f>
        <v>Remise client</v>
      </c>
      <c r="J50" s="2" t="str">
        <f>Traduction!A113</f>
        <v>Total commande €HT</v>
      </c>
      <c r="K50" s="18">
        <f>SUM(K11:K49)</f>
        <v>0</v>
      </c>
    </row>
    <row r="51" spans="1:13" ht="15.75" thickBot="1">
      <c r="A51" s="46"/>
      <c r="B51" s="42"/>
      <c r="C51" s="15"/>
      <c r="D51" s="15"/>
      <c r="E51" s="16" t="str">
        <f>Traduction!A57</f>
        <v>Prix par pergola après remise €HT</v>
      </c>
      <c r="F51" s="55"/>
      <c r="G51" s="48"/>
      <c r="H51" s="17"/>
      <c r="I51" s="19">
        <v>0</v>
      </c>
    </row>
    <row r="52" spans="1:13" ht="15.75" thickBot="1">
      <c r="E52" s="50" t="str">
        <f>Traduction!A64</f>
        <v>Poids (Kg)</v>
      </c>
      <c r="F52" s="56"/>
    </row>
    <row r="53" spans="1:13">
      <c r="F53" s="49"/>
      <c r="G53" s="49"/>
      <c r="H53" s="49"/>
      <c r="I53" s="49"/>
      <c r="J53" s="49"/>
      <c r="K53" s="49"/>
      <c r="L53" s="49"/>
      <c r="M53" s="49"/>
    </row>
    <row r="54" spans="1:13">
      <c r="F54" s="18"/>
      <c r="G54" s="18"/>
      <c r="H54" s="18"/>
      <c r="I54" s="18"/>
      <c r="J54" s="18"/>
      <c r="K54" s="18"/>
      <c r="L54" s="18"/>
      <c r="M54" s="18"/>
    </row>
    <row r="55" spans="1:13">
      <c r="E55" s="12"/>
      <c r="F55" s="12"/>
      <c r="G55" s="12"/>
      <c r="H55" s="12"/>
      <c r="I55" s="12"/>
    </row>
  </sheetData>
  <sheetProtection sheet="1" objects="1" scenarios="1"/>
  <customSheetViews>
    <customSheetView guid="{D8D7B009-33DC-454B-9FCD-4FE65C8432CF}" scale="70" fitToPage="1" state="hidden">
      <selection activeCell="I36" sqref="I36"/>
      <pageMargins left="0.7" right="0.7" top="0.75" bottom="0.75" header="0.3" footer="0.3"/>
      <pageSetup paperSize="9" scale="43" orientation="landscape" r:id="rId1"/>
    </customSheetView>
  </customSheetViews>
  <mergeCells count="5">
    <mergeCell ref="A9:R9"/>
    <mergeCell ref="A10:B10"/>
    <mergeCell ref="A2:C2"/>
    <mergeCell ref="E3:L3"/>
    <mergeCell ref="E5:L5"/>
  </mergeCells>
  <pageMargins left="0.7" right="0.7" top="0.75" bottom="0.75" header="0.3" footer="0.3"/>
  <pageSetup paperSize="9" scale="43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Drop Down 1">
              <controlPr locked="0" defaultSize="0" autoLine="0" autoPict="0">
                <anchor moveWithCells="1">
                  <from>
                    <xdr:col>0</xdr:col>
                    <xdr:colOff>0</xdr:colOff>
                    <xdr:row>1</xdr:row>
                    <xdr:rowOff>104775</xdr:rowOff>
                  </from>
                  <to>
                    <xdr:col>2</xdr:col>
                    <xdr:colOff>57150</xdr:colOff>
                    <xdr:row>1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N19"/>
  <sheetViews>
    <sheetView showGridLines="0" workbookViewId="0">
      <selection activeCell="C35" sqref="C35"/>
    </sheetView>
  </sheetViews>
  <sheetFormatPr baseColWidth="10" defaultRowHeight="15"/>
  <cols>
    <col min="1" max="1" width="16.7109375" customWidth="1"/>
    <col min="2" max="2" width="24.5703125" customWidth="1"/>
    <col min="3" max="3" width="38.5703125" customWidth="1"/>
    <col min="4" max="4" width="15.85546875" bestFit="1" customWidth="1"/>
    <col min="6" max="6" width="41.5703125" customWidth="1"/>
    <col min="7" max="7" width="14.85546875" customWidth="1"/>
    <col min="8" max="8" width="14.28515625" customWidth="1"/>
    <col min="11" max="11" width="13.140625" customWidth="1"/>
    <col min="13" max="13" width="14" customWidth="1"/>
    <col min="14" max="14" width="15" customWidth="1"/>
  </cols>
  <sheetData>
    <row r="3" spans="1:14" ht="15.75" thickBot="1"/>
    <row r="4" spans="1:14" ht="15.75" thickBot="1">
      <c r="A4" s="509" t="s">
        <v>650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1"/>
    </row>
    <row r="5" spans="1:14" ht="25.5" thickBot="1">
      <c r="A5" s="313" t="str">
        <f>Traduction!$A$31</f>
        <v>Référence</v>
      </c>
      <c r="B5" s="313" t="str">
        <f>Traduction!A32</f>
        <v>Référence distributeur</v>
      </c>
      <c r="C5" s="313" t="str">
        <f>Traduction!A33</f>
        <v>Désignation</v>
      </c>
      <c r="D5" s="314" t="str">
        <f>Traduction!A35</f>
        <v>Dimensions colis</v>
      </c>
      <c r="E5" s="314" t="str">
        <f>Traduction!A36</f>
        <v>Poids (Kg)</v>
      </c>
      <c r="F5" s="314" t="str">
        <f>Traduction!A37</f>
        <v>Désignation</v>
      </c>
      <c r="G5" s="315" t="str">
        <f>Traduction!A39</f>
        <v>Qté /Pergola</v>
      </c>
      <c r="H5" s="315" t="str">
        <f>Traduction!A143</f>
        <v>Complément</v>
      </c>
      <c r="I5" s="315" t="str">
        <f>Traduction!A38</f>
        <v>Qté Total</v>
      </c>
      <c r="J5" s="315" t="str">
        <f>Traduction!A40</f>
        <v>UDV</v>
      </c>
      <c r="K5" s="316" t="str">
        <f>Traduction!A41</f>
        <v>Prix Public unitaire €HT</v>
      </c>
      <c r="L5" s="316" t="str">
        <f>Traduction!A42</f>
        <v>Prix Total €HT</v>
      </c>
      <c r="M5" s="317" t="str">
        <f>+Traduction!A43</f>
        <v>Prix unitaire après remise €HT</v>
      </c>
      <c r="N5" s="317" t="str">
        <f>+Traduction!A141</f>
        <v>Prix total après remise €HT</v>
      </c>
    </row>
    <row r="6" spans="1:14">
      <c r="A6" s="302" t="s">
        <v>692</v>
      </c>
      <c r="B6" s="303"/>
      <c r="C6" s="303" t="s">
        <v>654</v>
      </c>
      <c r="D6" s="304"/>
      <c r="E6" s="304"/>
      <c r="F6" s="303"/>
      <c r="G6" s="306" t="e">
        <f>'Définition SHADOW SOLAR EVO'!#REF!</f>
        <v>#REF!</v>
      </c>
      <c r="H6" s="305"/>
      <c r="I6" s="305" t="e">
        <f>G6*$G$8</f>
        <v>#REF!</v>
      </c>
      <c r="J6" s="305">
        <v>1</v>
      </c>
      <c r="K6" s="307"/>
      <c r="L6" s="308"/>
      <c r="M6" s="307"/>
      <c r="N6" s="308"/>
    </row>
    <row r="7" spans="1:14">
      <c r="A7" s="302" t="s">
        <v>692</v>
      </c>
      <c r="B7" s="299"/>
      <c r="C7" s="303" t="s">
        <v>654</v>
      </c>
      <c r="D7" s="296"/>
      <c r="E7" s="296"/>
      <c r="F7" s="299"/>
      <c r="G7" s="306" t="e">
        <f>'Définition SHADOW SOLAR EVO'!#REF!</f>
        <v>#REF!</v>
      </c>
      <c r="H7" s="300"/>
      <c r="I7" s="300" t="e">
        <f t="shared" ref="I7:I16" si="0">G7*$G$8</f>
        <v>#REF!</v>
      </c>
      <c r="J7" s="300">
        <v>1</v>
      </c>
      <c r="K7" s="297"/>
      <c r="L7" s="298"/>
      <c r="M7" s="297"/>
      <c r="N7" s="298"/>
    </row>
    <row r="8" spans="1:14">
      <c r="A8" s="302" t="s">
        <v>692</v>
      </c>
      <c r="B8" s="299"/>
      <c r="C8" s="299" t="s">
        <v>638</v>
      </c>
      <c r="D8" s="296"/>
      <c r="E8" s="296"/>
      <c r="F8" s="299"/>
      <c r="G8" s="306" t="e">
        <f>'Définition SHADOW SOLAR EVO'!#REF!</f>
        <v>#REF!</v>
      </c>
      <c r="H8" s="300"/>
      <c r="I8" s="300" t="e">
        <f t="shared" si="0"/>
        <v>#REF!</v>
      </c>
      <c r="J8" s="300">
        <v>1</v>
      </c>
      <c r="K8" s="297"/>
      <c r="L8" s="298"/>
      <c r="M8" s="297"/>
      <c r="N8" s="298"/>
    </row>
    <row r="9" spans="1:14">
      <c r="A9" s="302" t="s">
        <v>692</v>
      </c>
      <c r="B9" s="299"/>
      <c r="C9" s="299" t="s">
        <v>638</v>
      </c>
      <c r="D9" s="296"/>
      <c r="E9" s="296"/>
      <c r="F9" s="299"/>
      <c r="G9" s="306" t="e">
        <f>'Définition SHADOW SOLAR EVO'!#REF!</f>
        <v>#REF!</v>
      </c>
      <c r="H9" s="300"/>
      <c r="I9" s="300" t="e">
        <f t="shared" si="0"/>
        <v>#REF!</v>
      </c>
      <c r="J9" s="300">
        <v>1</v>
      </c>
      <c r="K9" s="297"/>
      <c r="L9" s="298"/>
      <c r="M9" s="297"/>
      <c r="N9" s="298"/>
    </row>
    <row r="10" spans="1:14">
      <c r="A10" s="302" t="s">
        <v>692</v>
      </c>
      <c r="B10" s="299"/>
      <c r="C10" s="299" t="s">
        <v>655</v>
      </c>
      <c r="D10" s="296"/>
      <c r="E10" s="296"/>
      <c r="F10" s="299"/>
      <c r="G10" s="301"/>
      <c r="H10" s="300"/>
      <c r="I10" s="300" t="e">
        <f t="shared" si="0"/>
        <v>#REF!</v>
      </c>
      <c r="J10" s="300">
        <v>1</v>
      </c>
      <c r="K10" s="297"/>
      <c r="L10" s="298"/>
      <c r="M10" s="297"/>
      <c r="N10" s="298"/>
    </row>
    <row r="11" spans="1:14">
      <c r="A11" s="302" t="s">
        <v>692</v>
      </c>
      <c r="B11" s="299"/>
      <c r="C11" s="299" t="s">
        <v>655</v>
      </c>
      <c r="D11" s="296"/>
      <c r="E11" s="296"/>
      <c r="F11" s="299"/>
      <c r="G11" s="301"/>
      <c r="H11" s="300"/>
      <c r="I11" s="300" t="e">
        <f t="shared" si="0"/>
        <v>#REF!</v>
      </c>
      <c r="J11" s="300">
        <v>1</v>
      </c>
      <c r="K11" s="297"/>
      <c r="L11" s="298"/>
      <c r="M11" s="297"/>
      <c r="N11" s="298"/>
    </row>
    <row r="12" spans="1:14">
      <c r="A12" s="302" t="s">
        <v>692</v>
      </c>
      <c r="B12" s="299"/>
      <c r="C12" s="299" t="s">
        <v>655</v>
      </c>
      <c r="D12" s="296"/>
      <c r="E12" s="296"/>
      <c r="F12" s="299"/>
      <c r="G12" s="301"/>
      <c r="H12" s="300"/>
      <c r="I12" s="300" t="e">
        <f t="shared" si="0"/>
        <v>#REF!</v>
      </c>
      <c r="J12" s="300">
        <v>1</v>
      </c>
      <c r="K12" s="297"/>
      <c r="L12" s="298"/>
      <c r="M12" s="297"/>
      <c r="N12" s="298"/>
    </row>
    <row r="13" spans="1:14">
      <c r="A13" s="302" t="s">
        <v>692</v>
      </c>
      <c r="B13" s="299"/>
      <c r="C13" s="299" t="s">
        <v>638</v>
      </c>
      <c r="D13" s="296"/>
      <c r="E13" s="296"/>
      <c r="F13" s="299"/>
      <c r="G13" s="301"/>
      <c r="H13" s="300"/>
      <c r="I13" s="300" t="e">
        <f t="shared" si="0"/>
        <v>#REF!</v>
      </c>
      <c r="J13" s="300">
        <v>1</v>
      </c>
      <c r="K13" s="297"/>
      <c r="L13" s="298"/>
      <c r="M13" s="297"/>
      <c r="N13" s="298"/>
    </row>
    <row r="14" spans="1:14">
      <c r="A14" s="302" t="s">
        <v>692</v>
      </c>
      <c r="B14" s="299"/>
      <c r="C14" s="299" t="s">
        <v>638</v>
      </c>
      <c r="D14" s="296"/>
      <c r="E14" s="296"/>
      <c r="F14" s="299"/>
      <c r="G14" s="301"/>
      <c r="H14" s="300"/>
      <c r="I14" s="300" t="e">
        <f t="shared" si="0"/>
        <v>#REF!</v>
      </c>
      <c r="J14" s="300">
        <v>1</v>
      </c>
      <c r="K14" s="297"/>
      <c r="L14" s="298"/>
      <c r="M14" s="297"/>
      <c r="N14" s="298"/>
    </row>
    <row r="15" spans="1:14">
      <c r="A15" s="302" t="s">
        <v>692</v>
      </c>
      <c r="B15" s="299"/>
      <c r="C15" s="299" t="s">
        <v>639</v>
      </c>
      <c r="D15" s="296"/>
      <c r="E15" s="296"/>
      <c r="F15" s="299"/>
      <c r="G15" s="301"/>
      <c r="H15" s="300"/>
      <c r="I15" s="300" t="e">
        <f t="shared" si="0"/>
        <v>#REF!</v>
      </c>
      <c r="J15" s="300">
        <v>1</v>
      </c>
      <c r="K15" s="297"/>
      <c r="L15" s="298"/>
      <c r="M15" s="297"/>
      <c r="N15" s="298"/>
    </row>
    <row r="16" spans="1:14">
      <c r="A16" s="302" t="s">
        <v>692</v>
      </c>
      <c r="B16" s="299"/>
      <c r="C16" s="299" t="s">
        <v>638</v>
      </c>
      <c r="D16" s="296"/>
      <c r="E16" s="296"/>
      <c r="F16" s="299"/>
      <c r="G16" s="301"/>
      <c r="H16" s="300"/>
      <c r="I16" s="300" t="e">
        <f t="shared" si="0"/>
        <v>#REF!</v>
      </c>
      <c r="J16" s="300">
        <v>1</v>
      </c>
      <c r="K16" s="297"/>
      <c r="L16" s="298"/>
      <c r="M16" s="297"/>
      <c r="N16" s="298"/>
    </row>
    <row r="17" spans="1:14">
      <c r="A17" s="302" t="s">
        <v>692</v>
      </c>
      <c r="B17" s="299"/>
      <c r="C17" s="299" t="s">
        <v>638</v>
      </c>
      <c r="D17" s="296"/>
      <c r="E17" s="296"/>
      <c r="F17" s="299"/>
      <c r="G17" s="301"/>
      <c r="H17" s="300"/>
      <c r="I17" s="300" t="e">
        <f t="shared" ref="I17:I19" si="1">G17*$G$8</f>
        <v>#REF!</v>
      </c>
      <c r="J17" s="300">
        <v>1</v>
      </c>
      <c r="K17" s="297"/>
      <c r="L17" s="298"/>
      <c r="M17" s="297"/>
      <c r="N17" s="298"/>
    </row>
    <row r="18" spans="1:14">
      <c r="A18" s="302" t="s">
        <v>692</v>
      </c>
      <c r="B18" s="299"/>
      <c r="C18" s="299" t="s">
        <v>638</v>
      </c>
      <c r="D18" s="296"/>
      <c r="E18" s="296"/>
      <c r="F18" s="299"/>
      <c r="G18" s="301"/>
      <c r="H18" s="300"/>
      <c r="I18" s="300" t="e">
        <f t="shared" si="1"/>
        <v>#REF!</v>
      </c>
      <c r="J18" s="300">
        <v>1</v>
      </c>
      <c r="K18" s="297"/>
      <c r="L18" s="298"/>
      <c r="M18" s="297"/>
      <c r="N18" s="298"/>
    </row>
    <row r="19" spans="1:14">
      <c r="A19" s="302" t="s">
        <v>692</v>
      </c>
      <c r="B19" s="299"/>
      <c r="C19" s="299" t="s">
        <v>638</v>
      </c>
      <c r="D19" s="296"/>
      <c r="E19" s="296"/>
      <c r="F19" s="299"/>
      <c r="G19" s="301"/>
      <c r="H19" s="300"/>
      <c r="I19" s="300" t="e">
        <f t="shared" si="1"/>
        <v>#REF!</v>
      </c>
      <c r="J19" s="300">
        <v>1</v>
      </c>
      <c r="K19" s="297"/>
      <c r="L19" s="298"/>
      <c r="M19" s="297"/>
      <c r="N19" s="298"/>
    </row>
  </sheetData>
  <sheetProtection selectLockedCells="1"/>
  <customSheetViews>
    <customSheetView guid="{D8D7B009-33DC-454B-9FCD-4FE65C8432CF}">
      <selection activeCell="F33" sqref="F33"/>
      <pageMargins left="0.7" right="0.7" top="0.75" bottom="0.75" header="0.3" footer="0.3"/>
    </customSheetView>
  </customSheetViews>
  <mergeCells count="1">
    <mergeCell ref="A4:N4"/>
  </mergeCells>
  <conditionalFormatting sqref="A6:N19">
    <cfRule type="expression" dxfId="2" priority="1">
      <formula>$G6&gt;0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5"/>
  <dimension ref="A1:AK184"/>
  <sheetViews>
    <sheetView showGridLines="0" topLeftCell="A7" workbookViewId="0">
      <selection activeCell="Y4" sqref="Y4"/>
    </sheetView>
  </sheetViews>
  <sheetFormatPr baseColWidth="10" defaultRowHeight="15"/>
  <cols>
    <col min="2" max="2" width="19.42578125" bestFit="1" customWidth="1"/>
    <col min="3" max="3" width="16.140625" customWidth="1"/>
    <col min="4" max="4" width="16.42578125" bestFit="1" customWidth="1"/>
    <col min="5" max="5" width="11.28515625" bestFit="1" customWidth="1"/>
    <col min="6" max="6" width="19.28515625" bestFit="1" customWidth="1"/>
    <col min="7" max="7" width="14" customWidth="1"/>
    <col min="9" max="10" width="11.42578125" customWidth="1"/>
    <col min="11" max="11" width="13.5703125" customWidth="1"/>
    <col min="12" max="12" width="18.85546875" customWidth="1"/>
    <col min="13" max="13" width="14.7109375" customWidth="1"/>
    <col min="14" max="14" width="22.7109375" customWidth="1"/>
    <col min="15" max="15" width="17.5703125" customWidth="1"/>
    <col min="16" max="16" width="15.140625" customWidth="1"/>
    <col min="17" max="17" width="14.42578125" customWidth="1"/>
    <col min="18" max="23" width="11.42578125" customWidth="1"/>
    <col min="24" max="24" width="13.5703125" customWidth="1"/>
  </cols>
  <sheetData>
    <row r="1" spans="1:25">
      <c r="C1" s="282" t="s">
        <v>620</v>
      </c>
      <c r="D1" s="282" t="s">
        <v>621</v>
      </c>
      <c r="E1" s="282" t="s">
        <v>160</v>
      </c>
      <c r="F1" s="282" t="s">
        <v>622</v>
      </c>
      <c r="G1" s="282" t="s">
        <v>813</v>
      </c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436"/>
      <c r="Y1" s="380"/>
    </row>
    <row r="2" spans="1:25" ht="16.5" thickBot="1">
      <c r="B2" s="275" t="s">
        <v>0</v>
      </c>
      <c r="C2" s="385" t="s">
        <v>680</v>
      </c>
      <c r="D2" s="279">
        <f>IF($C$10=C2,1,0)</f>
        <v>1</v>
      </c>
      <c r="E2" s="279">
        <f>IF(D2&gt;0,IF($B$4="Yes",$B$3,0),0)</f>
        <v>0</v>
      </c>
      <c r="F2" s="279">
        <f>IF(E2&gt;0,$B$3+1,0)</f>
        <v>0</v>
      </c>
      <c r="G2" s="279">
        <f>IF(F2&gt;0,($B$3-1)+2,0)</f>
        <v>0</v>
      </c>
      <c r="H2">
        <v>0</v>
      </c>
      <c r="I2">
        <v>1</v>
      </c>
      <c r="J2" s="381">
        <v>0</v>
      </c>
      <c r="K2" s="381" t="s">
        <v>2</v>
      </c>
      <c r="L2" s="381" t="str">
        <f>Traduction!A27</f>
        <v>No</v>
      </c>
      <c r="M2" s="381" t="s">
        <v>42</v>
      </c>
      <c r="N2" s="382" t="s">
        <v>28</v>
      </c>
      <c r="O2" s="382" t="s">
        <v>28</v>
      </c>
      <c r="P2" s="381">
        <v>0</v>
      </c>
      <c r="Q2" s="381"/>
      <c r="R2" s="381" t="s">
        <v>157</v>
      </c>
      <c r="S2" s="381">
        <f>IF($S$5="yes",0,0)</f>
        <v>0</v>
      </c>
      <c r="T2" s="381">
        <v>2400</v>
      </c>
      <c r="U2" s="381">
        <v>0</v>
      </c>
      <c r="V2" s="381"/>
      <c r="W2" s="381">
        <v>1</v>
      </c>
      <c r="X2" s="279"/>
      <c r="Y2" s="380" t="str">
        <f>Traduction!A288</f>
        <v>FRANCE CONTINENTALE</v>
      </c>
    </row>
    <row r="3" spans="1:25" ht="19.5" thickBot="1">
      <c r="A3" s="277" t="s">
        <v>623</v>
      </c>
      <c r="B3" s="280">
        <f>'Définition SHADOW SOLAR EVO'!G8</f>
        <v>1</v>
      </c>
      <c r="C3" s="385" t="s">
        <v>681</v>
      </c>
      <c r="D3" s="279">
        <f>IF($C$10=C3,2,0)</f>
        <v>0</v>
      </c>
      <c r="E3" s="279">
        <f t="shared" ref="E3" si="0">IF(D3&gt;0,IF($B$4="Yes",$B$3,0),0)</f>
        <v>0</v>
      </c>
      <c r="F3" s="279">
        <f>IF(E3&gt;0,($B$3*4)-($B$3-1)*2,0)</f>
        <v>0</v>
      </c>
      <c r="G3" s="279">
        <f>IF(F3&gt;0,($B$3-1)*2+4,0)</f>
        <v>0</v>
      </c>
      <c r="H3">
        <f>IF($H$25&gt;0,1,0)</f>
        <v>1</v>
      </c>
      <c r="I3">
        <f>I2+1</f>
        <v>2</v>
      </c>
      <c r="J3" s="381">
        <v>2</v>
      </c>
      <c r="K3" s="381" t="s">
        <v>41</v>
      </c>
      <c r="L3" s="381" t="str">
        <f>Traduction!A28</f>
        <v>Yes</v>
      </c>
      <c r="M3" s="381"/>
      <c r="N3" s="381">
        <v>7016</v>
      </c>
      <c r="O3" s="381">
        <v>1015</v>
      </c>
      <c r="P3" s="381">
        <v>1</v>
      </c>
      <c r="Q3" s="381"/>
      <c r="R3" s="381" t="s">
        <v>158</v>
      </c>
      <c r="S3" s="381">
        <f>IF($S$5="yes",1,0)</f>
        <v>0</v>
      </c>
      <c r="T3" s="381">
        <v>3500</v>
      </c>
      <c r="U3" s="381">
        <v>1</v>
      </c>
      <c r="V3" s="381"/>
      <c r="W3" s="381">
        <v>2</v>
      </c>
      <c r="X3" s="279"/>
      <c r="Y3" s="380" t="str">
        <f>Traduction!A287</f>
        <v>BELGIQUE / LUXEMBOURG</v>
      </c>
    </row>
    <row r="4" spans="1:25" ht="19.5" thickBot="1">
      <c r="A4" s="277" t="s">
        <v>160</v>
      </c>
      <c r="B4" s="281" t="str">
        <f>'Définition SHADOW SOLAR EVO'!G16</f>
        <v>No</v>
      </c>
      <c r="C4" s="385" t="s">
        <v>684</v>
      </c>
      <c r="D4" s="279">
        <f>IF($C$10=C4,1,0)</f>
        <v>0</v>
      </c>
      <c r="E4" s="279">
        <f t="shared" ref="E4:E9" si="1">IF(D4&gt;0,IF($B$4="Yes",$B$3,0),0)</f>
        <v>0</v>
      </c>
      <c r="F4" s="279">
        <f>IF(E4&gt;0,$B$3+1,0)</f>
        <v>0</v>
      </c>
      <c r="G4" s="279">
        <f>IF(F4&gt;0,($B$3-1)+2,0)</f>
        <v>0</v>
      </c>
      <c r="H4">
        <f>IF($H$25&gt;1,2,0)</f>
        <v>2</v>
      </c>
      <c r="I4">
        <f t="shared" ref="I4:I5" si="2">I3+1</f>
        <v>3</v>
      </c>
      <c r="J4" s="381">
        <v>4</v>
      </c>
      <c r="K4" s="381"/>
      <c r="L4" s="381"/>
      <c r="M4" s="381"/>
      <c r="N4" s="381">
        <v>9010</v>
      </c>
      <c r="O4" s="381">
        <v>8007</v>
      </c>
      <c r="P4" s="381">
        <v>2</v>
      </c>
      <c r="Q4" s="381"/>
      <c r="R4" s="381" t="s">
        <v>159</v>
      </c>
      <c r="S4" s="381">
        <f>IF($S$5="yes",2,0)</f>
        <v>0</v>
      </c>
      <c r="T4" s="381"/>
      <c r="U4" s="381">
        <v>2</v>
      </c>
      <c r="V4" s="381"/>
      <c r="W4" s="381">
        <v>3</v>
      </c>
      <c r="X4" s="279"/>
      <c r="Y4" s="380"/>
    </row>
    <row r="5" spans="1:25" ht="18.75">
      <c r="B5" s="244"/>
      <c r="C5" s="385" t="s">
        <v>685</v>
      </c>
      <c r="D5" s="279">
        <f>IF($C$10=C5,2,0)</f>
        <v>0</v>
      </c>
      <c r="E5" s="279">
        <f t="shared" si="1"/>
        <v>0</v>
      </c>
      <c r="F5" s="279">
        <f>IF(E5&gt;0,($B$3*4)-($B$3-1)*2,0)</f>
        <v>0</v>
      </c>
      <c r="G5" s="279">
        <f>IF(F5&gt;0,($B$3-1)*2+4,0)</f>
        <v>0</v>
      </c>
      <c r="H5">
        <f>IF($H$25&gt;2,3,0)</f>
        <v>0</v>
      </c>
      <c r="I5">
        <f t="shared" si="2"/>
        <v>4</v>
      </c>
      <c r="J5" s="381"/>
      <c r="K5" s="381"/>
      <c r="L5" s="381"/>
      <c r="M5" s="381"/>
      <c r="N5" s="381"/>
      <c r="O5" s="381">
        <v>6001</v>
      </c>
      <c r="P5" s="381">
        <v>3</v>
      </c>
      <c r="Q5" s="381"/>
      <c r="R5" s="381"/>
      <c r="S5" s="381">
        <f>'Définition SHADOW SOLAR EVO'!G20</f>
        <v>0</v>
      </c>
      <c r="T5" s="381"/>
      <c r="U5" s="381">
        <v>3</v>
      </c>
      <c r="V5" s="381"/>
      <c r="W5" s="381">
        <v>4</v>
      </c>
      <c r="X5" s="279"/>
      <c r="Y5" s="380"/>
    </row>
    <row r="6" spans="1:25" ht="18.75">
      <c r="B6" s="243"/>
      <c r="C6" s="385" t="s">
        <v>687</v>
      </c>
      <c r="D6" s="279">
        <f>IF($C$10=C6,1,0)</f>
        <v>0</v>
      </c>
      <c r="E6" s="279">
        <f t="shared" si="1"/>
        <v>0</v>
      </c>
      <c r="F6" s="279">
        <f>IF(E6&gt;0,$B$3+1,0)</f>
        <v>0</v>
      </c>
      <c r="G6" s="279">
        <f>IF(F6&gt;0,($B$3-1)+2,0)</f>
        <v>0</v>
      </c>
      <c r="H6">
        <f>IF($H$25&gt;3,4,0)</f>
        <v>0</v>
      </c>
      <c r="J6" s="381"/>
      <c r="K6" s="381"/>
      <c r="L6" s="381"/>
      <c r="M6" s="381"/>
      <c r="N6" s="381"/>
      <c r="O6" s="381">
        <v>5005</v>
      </c>
      <c r="P6" s="381">
        <v>4</v>
      </c>
      <c r="Q6" s="381"/>
      <c r="R6" s="381"/>
      <c r="S6" s="381"/>
      <c r="T6" s="381"/>
      <c r="U6" s="381">
        <v>4</v>
      </c>
      <c r="V6" s="381"/>
      <c r="W6" s="381"/>
      <c r="X6" s="279"/>
      <c r="Y6" s="380"/>
    </row>
    <row r="7" spans="1:25" ht="18.75">
      <c r="B7" s="243"/>
      <c r="C7" s="385" t="s">
        <v>686</v>
      </c>
      <c r="D7" s="279">
        <f>IF($C$10=C7,2,0)</f>
        <v>0</v>
      </c>
      <c r="E7" s="279">
        <f t="shared" si="1"/>
        <v>0</v>
      </c>
      <c r="F7" s="279">
        <f>IF(E7&gt;0,($B$3*4)-($B$3-1)*2,0)</f>
        <v>0</v>
      </c>
      <c r="G7" s="279">
        <f>IF(F7&gt;0,($B$3-1)*2+4,0)</f>
        <v>0</v>
      </c>
      <c r="J7" s="381"/>
      <c r="K7" s="381"/>
      <c r="L7" s="381"/>
      <c r="M7" s="381"/>
      <c r="N7" s="381"/>
      <c r="O7" s="381">
        <v>3004</v>
      </c>
      <c r="P7" s="381">
        <v>5</v>
      </c>
      <c r="Q7" s="381"/>
      <c r="R7" s="381"/>
      <c r="S7" s="381"/>
      <c r="T7" s="383" t="s">
        <v>644</v>
      </c>
      <c r="U7" s="384">
        <f>P49</f>
        <v>3</v>
      </c>
      <c r="V7" s="381"/>
      <c r="W7" s="381"/>
      <c r="X7" s="279"/>
      <c r="Y7" s="380"/>
    </row>
    <row r="8" spans="1:25" ht="18.75">
      <c r="B8" s="243"/>
      <c r="C8" s="385" t="s">
        <v>688</v>
      </c>
      <c r="D8" s="279">
        <f>IF($C$10=C8,1,0)</f>
        <v>0</v>
      </c>
      <c r="E8" s="279">
        <f t="shared" si="1"/>
        <v>0</v>
      </c>
      <c r="F8" s="279">
        <f>IF(E8&gt;0,$B$3+1,0)</f>
        <v>0</v>
      </c>
      <c r="G8" s="279">
        <f>IF(F8&gt;0,($B$3-1)+2,0)</f>
        <v>0</v>
      </c>
      <c r="J8" s="381"/>
      <c r="K8" s="381"/>
      <c r="L8" s="381"/>
      <c r="M8" s="381"/>
      <c r="N8" s="381"/>
      <c r="O8" s="381"/>
      <c r="P8" s="381">
        <v>6</v>
      </c>
      <c r="Q8" s="381"/>
      <c r="R8" s="381"/>
      <c r="S8" s="381"/>
      <c r="T8" s="381"/>
      <c r="U8" s="381"/>
      <c r="V8" s="381"/>
      <c r="W8" s="381"/>
      <c r="X8" s="279"/>
      <c r="Y8" s="380"/>
    </row>
    <row r="9" spans="1:25" ht="19.5" thickBot="1">
      <c r="B9" s="243"/>
      <c r="C9" s="386" t="s">
        <v>689</v>
      </c>
      <c r="D9" s="283">
        <f>IF($C$10=C9,2,0)</f>
        <v>0</v>
      </c>
      <c r="E9" s="283">
        <f t="shared" si="1"/>
        <v>0</v>
      </c>
      <c r="F9" s="283">
        <f>IF(E9&gt;0,($B$3*4)-($B$3-1)*2,0)</f>
        <v>0</v>
      </c>
      <c r="G9" s="279">
        <f>IF(F9&gt;0,($B$3-1)*2+4,0)</f>
        <v>0</v>
      </c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279"/>
      <c r="Y9" s="380"/>
    </row>
    <row r="10" spans="1:25" ht="19.5" thickBot="1">
      <c r="B10" s="276" t="s">
        <v>442</v>
      </c>
      <c r="C10" s="278" t="str">
        <f>'Définition SHADOW SOLAR EVO'!G10</f>
        <v>2x2 2 Pieds</v>
      </c>
      <c r="D10" s="278">
        <f>SUM(D2:D9)</f>
        <v>1</v>
      </c>
      <c r="E10" s="278"/>
      <c r="F10" s="278">
        <f>SUM(F2:F9)</f>
        <v>0</v>
      </c>
      <c r="G10" s="278">
        <f>SUM(G2:G9)</f>
        <v>0</v>
      </c>
      <c r="I10" s="243"/>
      <c r="J10" s="381"/>
      <c r="K10" s="381"/>
      <c r="L10" s="381"/>
      <c r="M10" s="381"/>
      <c r="N10" s="381"/>
      <c r="O10" s="381"/>
      <c r="P10" s="381"/>
      <c r="Q10" s="381"/>
      <c r="R10" s="381"/>
      <c r="S10" s="380"/>
      <c r="T10" s="380"/>
      <c r="U10" s="380"/>
      <c r="V10" s="380"/>
      <c r="W10" s="380"/>
      <c r="X10" s="278"/>
      <c r="Y10" s="380"/>
    </row>
    <row r="11" spans="1:25" ht="18.75">
      <c r="B11" s="243"/>
      <c r="G11" s="243"/>
      <c r="H11" s="243"/>
      <c r="I11" s="243"/>
      <c r="J11" s="381"/>
      <c r="K11" s="381"/>
      <c r="L11" s="381"/>
      <c r="M11" s="381"/>
      <c r="N11" s="381"/>
      <c r="O11" s="381"/>
      <c r="P11" s="381"/>
      <c r="Q11" s="381"/>
      <c r="R11" s="381"/>
      <c r="S11" s="380"/>
      <c r="T11" s="380"/>
      <c r="U11" s="380"/>
      <c r="V11" s="380"/>
      <c r="W11" s="380"/>
      <c r="X11" s="279"/>
      <c r="Y11" s="380"/>
    </row>
    <row r="12" spans="1:25" ht="18.75"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</row>
    <row r="13" spans="1:25" ht="25.5" customHeight="1">
      <c r="B13" s="20"/>
      <c r="C13" s="20"/>
      <c r="D13" s="100" t="s">
        <v>436</v>
      </c>
      <c r="E13" s="20" t="s">
        <v>439</v>
      </c>
      <c r="F13" s="100" t="s">
        <v>437</v>
      </c>
      <c r="G13" s="20" t="s">
        <v>440</v>
      </c>
      <c r="H13" s="100" t="s">
        <v>437</v>
      </c>
      <c r="I13" s="100" t="s">
        <v>438</v>
      </c>
      <c r="K13" s="100" t="s">
        <v>441</v>
      </c>
      <c r="L13" s="20" t="s">
        <v>451</v>
      </c>
      <c r="M13" s="100" t="s">
        <v>452</v>
      </c>
      <c r="N13" s="100" t="s">
        <v>458</v>
      </c>
      <c r="O13" s="100" t="s">
        <v>599</v>
      </c>
      <c r="P13" s="100" t="s">
        <v>600</v>
      </c>
      <c r="Q13" s="100" t="s">
        <v>601</v>
      </c>
      <c r="R13" s="100" t="s">
        <v>602</v>
      </c>
      <c r="S13" s="100" t="s">
        <v>628</v>
      </c>
      <c r="T13" s="100" t="s">
        <v>629</v>
      </c>
    </row>
    <row r="14" spans="1:25" ht="30.75" customHeight="1">
      <c r="B14" s="105" t="s">
        <v>435</v>
      </c>
      <c r="C14" s="100"/>
      <c r="D14" s="100" t="str">
        <f>'Définition SHADOW SOLAR EVO'!G10</f>
        <v>2x2 2 Pieds</v>
      </c>
      <c r="E14" s="100">
        <f t="shared" ref="E14:E24" si="3">F14+H14</f>
        <v>0</v>
      </c>
      <c r="F14" s="100"/>
      <c r="G14" s="100">
        <f>'Définition SHADOW SOLAR EVO'!G20</f>
        <v>0</v>
      </c>
      <c r="H14" s="100">
        <f>IF(G14="yes",'Définition SHADOW SOLAR EVO'!G21,0)</f>
        <v>0</v>
      </c>
      <c r="I14" s="100">
        <f>IF('Définition SHADOW SOLAR EVO'!G20="Yes",'Définition SHADOW SOLAR EVO'!G21,0)</f>
        <v>0</v>
      </c>
      <c r="K14" s="20"/>
      <c r="L14" s="100"/>
      <c r="M14" s="20"/>
      <c r="N14" s="20"/>
      <c r="O14" s="20"/>
      <c r="P14" s="20"/>
      <c r="Q14" s="20"/>
      <c r="R14" s="20"/>
      <c r="S14" s="20"/>
      <c r="T14" s="20"/>
    </row>
    <row r="15" spans="1:25">
      <c r="B15" s="100" t="s">
        <v>680</v>
      </c>
      <c r="C15" s="100">
        <v>2</v>
      </c>
      <c r="D15" s="100">
        <f>IF($D$14=B15,C15,0)</f>
        <v>2</v>
      </c>
      <c r="E15" s="100">
        <f t="shared" si="3"/>
        <v>2</v>
      </c>
      <c r="F15" s="100">
        <f>C15-H15</f>
        <v>0</v>
      </c>
      <c r="G15" s="100">
        <f>G14</f>
        <v>0</v>
      </c>
      <c r="H15" s="100">
        <f>IF(D15&gt;0,2,0)</f>
        <v>2</v>
      </c>
      <c r="I15" s="100">
        <f>'Définition SHADOW SOLAR EVO'!$G$21</f>
        <v>0</v>
      </c>
      <c r="J15" s="119">
        <f>IF(H15&gt;0,IF(G15="No",C15,C15-I15),0)</f>
        <v>2</v>
      </c>
      <c r="K15" s="100" t="str">
        <f t="shared" ref="K15:K24" si="4">IF(D15&gt;0,IF(E15=D15,"Ok","Error"),0)</f>
        <v>Ok</v>
      </c>
      <c r="L15" s="100">
        <v>2</v>
      </c>
      <c r="M15" s="20">
        <f>L15*J15</f>
        <v>4</v>
      </c>
      <c r="N15" s="20">
        <f t="shared" ref="N15:N24" si="5">IF(K15&gt;0,F15,0)</f>
        <v>0</v>
      </c>
      <c r="O15" s="246">
        <f>O16+150</f>
        <v>2693</v>
      </c>
      <c r="P15" s="246">
        <v>3374</v>
      </c>
      <c r="Q15" s="246">
        <f t="shared" ref="Q15:Q24" si="6">IF($D$14=B15,O15,0)</f>
        <v>2693</v>
      </c>
      <c r="R15" s="246">
        <f t="shared" ref="R15:R24" si="7">IF($D$14=B15,P15,0)</f>
        <v>3374</v>
      </c>
      <c r="S15" s="246">
        <f>IF(D15&gt;0,1,0)</f>
        <v>1</v>
      </c>
      <c r="T15" s="246"/>
    </row>
    <row r="16" spans="1:25">
      <c r="B16" s="100" t="s">
        <v>681</v>
      </c>
      <c r="C16" s="100">
        <v>2</v>
      </c>
      <c r="D16" s="100">
        <f t="shared" ref="D16:D24" si="8">IF($D$14=B16,C16,0)</f>
        <v>0</v>
      </c>
      <c r="E16" s="100">
        <f t="shared" si="3"/>
        <v>2</v>
      </c>
      <c r="F16" s="100">
        <f t="shared" ref="F16:F24" si="9">C16-H16</f>
        <v>2</v>
      </c>
      <c r="G16" s="100">
        <f t="shared" ref="G16:G24" si="10">G15</f>
        <v>0</v>
      </c>
      <c r="H16" s="100">
        <f t="shared" ref="H16:H18" si="11">IF(D16&gt;0,2,0)</f>
        <v>0</v>
      </c>
      <c r="I16" s="100">
        <f>'Définition SHADOW SOLAR EVO'!$G$21</f>
        <v>0</v>
      </c>
      <c r="J16" s="119">
        <f t="shared" ref="J16:J24" si="12">IF(H16&gt;0,IF(G16="No",C16,C16-I16),0)</f>
        <v>0</v>
      </c>
      <c r="K16" s="100">
        <f t="shared" si="4"/>
        <v>0</v>
      </c>
      <c r="L16" s="100">
        <v>2</v>
      </c>
      <c r="M16" s="20">
        <f t="shared" ref="M16:M24" si="13">L16*J16</f>
        <v>0</v>
      </c>
      <c r="N16" s="20">
        <f t="shared" si="5"/>
        <v>0</v>
      </c>
      <c r="O16" s="246">
        <v>2543</v>
      </c>
      <c r="P16" s="246">
        <v>3374</v>
      </c>
      <c r="Q16" s="246">
        <f t="shared" si="6"/>
        <v>0</v>
      </c>
      <c r="R16" s="246">
        <f t="shared" si="7"/>
        <v>0</v>
      </c>
      <c r="S16" s="246"/>
      <c r="T16" s="246">
        <f>IF(D16&gt;0,1,0)</f>
        <v>0</v>
      </c>
    </row>
    <row r="17" spans="2:22">
      <c r="B17" s="100" t="s">
        <v>683</v>
      </c>
      <c r="C17" s="100">
        <v>2</v>
      </c>
      <c r="D17" s="100">
        <f t="shared" si="8"/>
        <v>0</v>
      </c>
      <c r="E17" s="100">
        <f t="shared" si="3"/>
        <v>2</v>
      </c>
      <c r="F17" s="100">
        <f t="shared" si="9"/>
        <v>2</v>
      </c>
      <c r="G17" s="100">
        <f t="shared" si="10"/>
        <v>0</v>
      </c>
      <c r="H17" s="100">
        <f t="shared" si="11"/>
        <v>0</v>
      </c>
      <c r="I17" s="100">
        <f>'Définition SHADOW SOLAR EVO'!$G$21</f>
        <v>0</v>
      </c>
      <c r="J17" s="119">
        <f t="shared" si="12"/>
        <v>0</v>
      </c>
      <c r="K17" s="100">
        <f t="shared" si="4"/>
        <v>0</v>
      </c>
      <c r="L17" s="100">
        <v>3</v>
      </c>
      <c r="M17" s="20">
        <f t="shared" si="13"/>
        <v>0</v>
      </c>
      <c r="N17" s="20">
        <f t="shared" si="5"/>
        <v>0</v>
      </c>
      <c r="O17" s="246">
        <f>O18+150</f>
        <v>2693</v>
      </c>
      <c r="P17" s="246">
        <v>5074</v>
      </c>
      <c r="Q17" s="246">
        <f t="shared" si="6"/>
        <v>0</v>
      </c>
      <c r="R17" s="246">
        <f t="shared" si="7"/>
        <v>0</v>
      </c>
      <c r="S17" s="246">
        <f>IF(D17&gt;0,1,0)</f>
        <v>0</v>
      </c>
      <c r="T17" s="246"/>
    </row>
    <row r="18" spans="2:22">
      <c r="B18" s="100" t="s">
        <v>682</v>
      </c>
      <c r="C18" s="100">
        <v>2</v>
      </c>
      <c r="D18" s="100">
        <f t="shared" si="8"/>
        <v>0</v>
      </c>
      <c r="E18" s="100">
        <f t="shared" si="3"/>
        <v>2</v>
      </c>
      <c r="F18" s="100">
        <f t="shared" si="9"/>
        <v>2</v>
      </c>
      <c r="G18" s="100">
        <f t="shared" si="10"/>
        <v>0</v>
      </c>
      <c r="H18" s="100">
        <f t="shared" si="11"/>
        <v>0</v>
      </c>
      <c r="I18" s="100">
        <f>'Définition SHADOW SOLAR EVO'!$G$21</f>
        <v>0</v>
      </c>
      <c r="J18" s="119">
        <f t="shared" si="12"/>
        <v>0</v>
      </c>
      <c r="K18" s="100">
        <f t="shared" si="4"/>
        <v>0</v>
      </c>
      <c r="L18" s="100">
        <v>3</v>
      </c>
      <c r="M18" s="20">
        <f t="shared" si="13"/>
        <v>0</v>
      </c>
      <c r="N18" s="20">
        <f t="shared" si="5"/>
        <v>0</v>
      </c>
      <c r="O18" s="246">
        <v>2543</v>
      </c>
      <c r="P18" s="246">
        <v>5074</v>
      </c>
      <c r="Q18" s="246">
        <f t="shared" si="6"/>
        <v>0</v>
      </c>
      <c r="R18" s="246">
        <f t="shared" si="7"/>
        <v>0</v>
      </c>
      <c r="S18" s="246"/>
      <c r="T18" s="246">
        <f>IF(D18&gt;0,1,0)</f>
        <v>0</v>
      </c>
    </row>
    <row r="19" spans="2:22">
      <c r="B19" s="100" t="s">
        <v>684</v>
      </c>
      <c r="C19" s="100">
        <v>3</v>
      </c>
      <c r="D19" s="100">
        <f t="shared" si="8"/>
        <v>0</v>
      </c>
      <c r="E19" s="100">
        <f t="shared" si="3"/>
        <v>3</v>
      </c>
      <c r="F19" s="100">
        <f t="shared" si="9"/>
        <v>3</v>
      </c>
      <c r="G19" s="100">
        <f t="shared" si="10"/>
        <v>0</v>
      </c>
      <c r="H19" s="100">
        <f>IF(D19&gt;0,3,0)</f>
        <v>0</v>
      </c>
      <c r="I19" s="100">
        <f>'Définition SHADOW SOLAR EVO'!$G$21</f>
        <v>0</v>
      </c>
      <c r="J19" s="119">
        <f t="shared" si="12"/>
        <v>0</v>
      </c>
      <c r="K19" s="100">
        <f t="shared" si="4"/>
        <v>0</v>
      </c>
      <c r="L19" s="100">
        <v>3</v>
      </c>
      <c r="M19" s="20">
        <f t="shared" si="13"/>
        <v>0</v>
      </c>
      <c r="N19" s="20">
        <f t="shared" si="5"/>
        <v>0</v>
      </c>
      <c r="O19" s="246">
        <f>O20+150</f>
        <v>3943</v>
      </c>
      <c r="P19" s="246">
        <v>5074</v>
      </c>
      <c r="Q19" s="246">
        <f t="shared" si="6"/>
        <v>0</v>
      </c>
      <c r="R19" s="246">
        <f t="shared" si="7"/>
        <v>0</v>
      </c>
      <c r="S19" s="246">
        <f>IF(D19&gt;0,1,0)</f>
        <v>0</v>
      </c>
      <c r="T19" s="246"/>
    </row>
    <row r="20" spans="2:22">
      <c r="B20" s="100" t="s">
        <v>685</v>
      </c>
      <c r="C20" s="100">
        <v>3</v>
      </c>
      <c r="D20" s="100">
        <f t="shared" si="8"/>
        <v>0</v>
      </c>
      <c r="E20" s="100">
        <f t="shared" si="3"/>
        <v>3</v>
      </c>
      <c r="F20" s="100">
        <f t="shared" si="9"/>
        <v>3</v>
      </c>
      <c r="G20" s="100">
        <f t="shared" si="10"/>
        <v>0</v>
      </c>
      <c r="H20" s="100">
        <f>IF(D20&gt;0,3,0)</f>
        <v>0</v>
      </c>
      <c r="I20" s="100">
        <f>'Définition SHADOW SOLAR EVO'!$G$21</f>
        <v>0</v>
      </c>
      <c r="J20" s="119">
        <f t="shared" si="12"/>
        <v>0</v>
      </c>
      <c r="K20" s="100">
        <f t="shared" si="4"/>
        <v>0</v>
      </c>
      <c r="L20" s="100">
        <v>3</v>
      </c>
      <c r="M20" s="20">
        <f t="shared" si="13"/>
        <v>0</v>
      </c>
      <c r="N20" s="20">
        <f t="shared" si="5"/>
        <v>0</v>
      </c>
      <c r="O20" s="246">
        <v>3793</v>
      </c>
      <c r="P20" s="246">
        <v>5074</v>
      </c>
      <c r="Q20" s="246">
        <f t="shared" si="6"/>
        <v>0</v>
      </c>
      <c r="R20" s="246">
        <f t="shared" si="7"/>
        <v>0</v>
      </c>
      <c r="S20" s="246"/>
      <c r="T20" s="246">
        <f>IF(D20&gt;0,1,0)</f>
        <v>0</v>
      </c>
    </row>
    <row r="21" spans="2:22">
      <c r="B21" s="100" t="s">
        <v>687</v>
      </c>
      <c r="C21" s="100">
        <v>4</v>
      </c>
      <c r="D21" s="100">
        <f t="shared" si="8"/>
        <v>0</v>
      </c>
      <c r="E21" s="100">
        <f t="shared" si="3"/>
        <v>4</v>
      </c>
      <c r="F21" s="100">
        <f t="shared" si="9"/>
        <v>4</v>
      </c>
      <c r="G21" s="100">
        <f t="shared" si="10"/>
        <v>0</v>
      </c>
      <c r="H21" s="100">
        <f>IF(D21&gt;0,4,0)</f>
        <v>0</v>
      </c>
      <c r="I21" s="100">
        <f>'Définition SHADOW SOLAR EVO'!$G$21</f>
        <v>0</v>
      </c>
      <c r="J21" s="119">
        <f t="shared" si="12"/>
        <v>0</v>
      </c>
      <c r="K21" s="100">
        <f t="shared" si="4"/>
        <v>0</v>
      </c>
      <c r="L21" s="100">
        <v>2</v>
      </c>
      <c r="M21" s="20">
        <f t="shared" si="13"/>
        <v>0</v>
      </c>
      <c r="N21" s="20">
        <f t="shared" si="5"/>
        <v>0</v>
      </c>
      <c r="O21" s="246">
        <f>O22+150</f>
        <v>5193</v>
      </c>
      <c r="P21" s="246">
        <v>3374</v>
      </c>
      <c r="Q21" s="246">
        <f t="shared" si="6"/>
        <v>0</v>
      </c>
      <c r="R21" s="246">
        <f t="shared" si="7"/>
        <v>0</v>
      </c>
      <c r="S21" s="246">
        <f>IF(D21&gt;0,1,0)</f>
        <v>0</v>
      </c>
      <c r="T21" s="246"/>
    </row>
    <row r="22" spans="2:22">
      <c r="B22" s="100" t="s">
        <v>686</v>
      </c>
      <c r="C22" s="100">
        <v>4</v>
      </c>
      <c r="D22" s="100">
        <f t="shared" si="8"/>
        <v>0</v>
      </c>
      <c r="E22" s="100">
        <f t="shared" si="3"/>
        <v>4</v>
      </c>
      <c r="F22" s="100">
        <f t="shared" si="9"/>
        <v>4</v>
      </c>
      <c r="G22" s="100">
        <f t="shared" si="10"/>
        <v>0</v>
      </c>
      <c r="H22" s="100">
        <f t="shared" ref="H22:H24" si="14">IF(D22&gt;0,4,0)</f>
        <v>0</v>
      </c>
      <c r="I22" s="100">
        <f>'Définition SHADOW SOLAR EVO'!$G$21</f>
        <v>0</v>
      </c>
      <c r="J22" s="119">
        <f t="shared" si="12"/>
        <v>0</v>
      </c>
      <c r="K22" s="100">
        <f t="shared" si="4"/>
        <v>0</v>
      </c>
      <c r="L22" s="100">
        <v>2</v>
      </c>
      <c r="M22" s="20">
        <f t="shared" si="13"/>
        <v>0</v>
      </c>
      <c r="N22" s="20">
        <f t="shared" si="5"/>
        <v>0</v>
      </c>
      <c r="O22" s="246">
        <v>5043</v>
      </c>
      <c r="P22" s="246">
        <v>3374</v>
      </c>
      <c r="Q22" s="246">
        <f t="shared" si="6"/>
        <v>0</v>
      </c>
      <c r="R22" s="246">
        <f t="shared" si="7"/>
        <v>0</v>
      </c>
      <c r="S22" s="246"/>
      <c r="T22" s="246">
        <f>IF(D22&gt;0,1,0)</f>
        <v>0</v>
      </c>
    </row>
    <row r="23" spans="2:22">
      <c r="B23" s="100" t="s">
        <v>688</v>
      </c>
      <c r="C23" s="100">
        <v>4</v>
      </c>
      <c r="D23" s="100">
        <f t="shared" si="8"/>
        <v>0</v>
      </c>
      <c r="E23" s="100">
        <f t="shared" si="3"/>
        <v>4</v>
      </c>
      <c r="F23" s="100">
        <f t="shared" si="9"/>
        <v>4</v>
      </c>
      <c r="G23" s="100">
        <f t="shared" si="10"/>
        <v>0</v>
      </c>
      <c r="H23" s="100">
        <f t="shared" si="14"/>
        <v>0</v>
      </c>
      <c r="I23" s="100">
        <f>'Définition SHADOW SOLAR EVO'!$G$21</f>
        <v>0</v>
      </c>
      <c r="J23" s="119">
        <f t="shared" si="12"/>
        <v>0</v>
      </c>
      <c r="K23" s="100">
        <f t="shared" si="4"/>
        <v>0</v>
      </c>
      <c r="L23" s="100">
        <v>3</v>
      </c>
      <c r="M23" s="20">
        <f t="shared" si="13"/>
        <v>0</v>
      </c>
      <c r="N23" s="20">
        <f t="shared" si="5"/>
        <v>0</v>
      </c>
      <c r="O23" s="246">
        <f>O24+150</f>
        <v>5193</v>
      </c>
      <c r="P23" s="246">
        <v>5074</v>
      </c>
      <c r="Q23" s="246">
        <f t="shared" si="6"/>
        <v>0</v>
      </c>
      <c r="R23" s="246">
        <f t="shared" si="7"/>
        <v>0</v>
      </c>
      <c r="S23" s="246">
        <f>IF(D23&gt;0,1,0)</f>
        <v>0</v>
      </c>
      <c r="T23" s="246"/>
    </row>
    <row r="24" spans="2:22">
      <c r="B24" s="100" t="s">
        <v>689</v>
      </c>
      <c r="C24" s="100">
        <v>4</v>
      </c>
      <c r="D24" s="100">
        <f t="shared" si="8"/>
        <v>0</v>
      </c>
      <c r="E24" s="100">
        <f t="shared" si="3"/>
        <v>4</v>
      </c>
      <c r="F24" s="100">
        <f t="shared" si="9"/>
        <v>4</v>
      </c>
      <c r="G24" s="100">
        <f t="shared" si="10"/>
        <v>0</v>
      </c>
      <c r="H24" s="100">
        <f t="shared" si="14"/>
        <v>0</v>
      </c>
      <c r="I24" s="100">
        <f>'Définition SHADOW SOLAR EVO'!$G$21</f>
        <v>0</v>
      </c>
      <c r="J24" s="119">
        <f t="shared" si="12"/>
        <v>0</v>
      </c>
      <c r="K24" s="100">
        <f t="shared" si="4"/>
        <v>0</v>
      </c>
      <c r="L24" s="100">
        <v>3</v>
      </c>
      <c r="M24" s="20">
        <f t="shared" si="13"/>
        <v>0</v>
      </c>
      <c r="N24" s="20">
        <f t="shared" si="5"/>
        <v>0</v>
      </c>
      <c r="O24" s="246">
        <v>5043</v>
      </c>
      <c r="P24" s="246">
        <v>5074</v>
      </c>
      <c r="Q24" s="246">
        <f t="shared" si="6"/>
        <v>0</v>
      </c>
      <c r="R24" s="246">
        <f t="shared" si="7"/>
        <v>0</v>
      </c>
      <c r="S24" s="246"/>
      <c r="T24" s="246">
        <f>IF(D24&gt;0,1,0)</f>
        <v>0</v>
      </c>
    </row>
    <row r="25" spans="2:22">
      <c r="H25" s="294">
        <f>SUM(H15:H24)</f>
        <v>2</v>
      </c>
      <c r="I25" s="294">
        <f>SUM(I15:I24)</f>
        <v>0</v>
      </c>
      <c r="J25" s="119">
        <f>SUM(J15:J24)</f>
        <v>2</v>
      </c>
      <c r="K25" s="98">
        <f>IF(K15="Ok",0,IF(K16="Ok",0,IF(K17="Ok",0,IF(K18="Ok",0,IF(K19="Ok",0,IF(K20="Ok",0,IF(K21="Ok",0,IF(K22="Ok",0,IF(K23="Ok",0,IF(K24="Ok",0,"Error sur le nombre de ligne"))))))))))</f>
        <v>0</v>
      </c>
      <c r="M25">
        <f>SUM(M15:M24)</f>
        <v>4</v>
      </c>
      <c r="N25">
        <f>SUM(N15:N24)</f>
        <v>0</v>
      </c>
      <c r="O25" s="247"/>
      <c r="P25" s="247"/>
      <c r="Q25" s="247">
        <f>IF('Définition SHADOW SOLAR EVO'!G34="Yes",SUM(Q15:Q24),0)</f>
        <v>0</v>
      </c>
      <c r="R25" s="247">
        <f>IF('Définition SHADOW SOLAR EVO'!G36="Yes",SUM(R15:R24),0)</f>
        <v>0</v>
      </c>
      <c r="S25" s="247">
        <f>SUM(S15:S24)</f>
        <v>1</v>
      </c>
      <c r="T25" s="247">
        <f>SUM(T15:T24)</f>
        <v>0</v>
      </c>
    </row>
    <row r="26" spans="2:22">
      <c r="D26" s="582" t="s">
        <v>627</v>
      </c>
      <c r="E26" s="583"/>
      <c r="F26" s="572"/>
      <c r="G26" s="582" t="s">
        <v>631</v>
      </c>
      <c r="H26" s="583"/>
      <c r="I26" s="572"/>
    </row>
    <row r="27" spans="2:22">
      <c r="B27" s="20" t="s">
        <v>160</v>
      </c>
      <c r="C27" s="274" t="str">
        <f>'Définition SHADOW SOLAR EVO'!G16</f>
        <v>No</v>
      </c>
      <c r="D27" s="619"/>
      <c r="E27" s="620"/>
      <c r="F27" s="621"/>
      <c r="G27" s="619"/>
      <c r="H27" s="620"/>
      <c r="I27" s="621"/>
    </row>
    <row r="28" spans="2:22" ht="48">
      <c r="B28" s="20" t="s">
        <v>626</v>
      </c>
      <c r="C28" s="274">
        <f>'Définition SHADOW SOLAR EVO'!G8</f>
        <v>1</v>
      </c>
      <c r="D28" s="582">
        <f>IF(C27="Yes",2,0)</f>
        <v>0</v>
      </c>
      <c r="E28" s="583"/>
      <c r="F28" s="572"/>
      <c r="G28" s="582">
        <f>IF(C27="Yes",IF(S25&gt;0,C28,C28*2),0)</f>
        <v>0</v>
      </c>
      <c r="H28" s="583"/>
      <c r="I28" s="572"/>
      <c r="K28" s="20"/>
      <c r="L28" s="20"/>
      <c r="M28" s="20"/>
      <c r="N28" s="100" t="s">
        <v>632</v>
      </c>
      <c r="O28" s="100" t="s">
        <v>439</v>
      </c>
      <c r="P28" s="100" t="s">
        <v>442</v>
      </c>
      <c r="Q28" s="105" t="s">
        <v>671</v>
      </c>
      <c r="R28" s="100" t="s">
        <v>439</v>
      </c>
      <c r="S28" s="362" t="s">
        <v>418</v>
      </c>
      <c r="T28" s="377" t="s">
        <v>419</v>
      </c>
      <c r="U28" s="20" t="s">
        <v>678</v>
      </c>
      <c r="V28" s="20" t="s">
        <v>679</v>
      </c>
    </row>
    <row r="29" spans="2:22" ht="30">
      <c r="B29" s="20" t="s">
        <v>625</v>
      </c>
      <c r="C29" s="274" t="str">
        <f>'Définition SHADOW SOLAR EVO'!G34</f>
        <v>No</v>
      </c>
      <c r="D29" s="619"/>
      <c r="E29" s="620"/>
      <c r="F29" s="621"/>
      <c r="G29" s="619"/>
      <c r="H29" s="620"/>
      <c r="I29" s="621"/>
      <c r="K29" s="20"/>
      <c r="L29" s="105" t="s">
        <v>435</v>
      </c>
      <c r="M29" s="100"/>
      <c r="N29" s="100"/>
      <c r="O29" s="100">
        <f>'Définition SHADOW SOLAR EVO'!G23</f>
        <v>2</v>
      </c>
      <c r="P29" s="100"/>
      <c r="Q29" s="20"/>
      <c r="R29" s="100"/>
      <c r="S29" s="25" t="s">
        <v>670</v>
      </c>
      <c r="T29" s="378"/>
      <c r="U29" s="20"/>
      <c r="V29" s="20"/>
    </row>
    <row r="30" spans="2:22">
      <c r="B30" s="20" t="s">
        <v>626</v>
      </c>
      <c r="C30" s="274">
        <f>'Définition SHADOW SOLAR EVO'!G35</f>
        <v>0</v>
      </c>
      <c r="D30" s="582">
        <f>IF(C27="No",2,0)</f>
        <v>2</v>
      </c>
      <c r="E30" s="583"/>
      <c r="F30" s="572"/>
      <c r="G30" s="619"/>
      <c r="H30" s="620"/>
      <c r="I30" s="621"/>
      <c r="K30" s="20" t="str">
        <f>C10</f>
        <v>2x2 2 Pieds</v>
      </c>
      <c r="L30" s="100" t="s">
        <v>680</v>
      </c>
      <c r="M30" s="100">
        <f>IF(K30=L30,1,0)</f>
        <v>1</v>
      </c>
      <c r="N30" s="100">
        <v>1</v>
      </c>
      <c r="O30" s="100">
        <f>N30*$O$29</f>
        <v>2</v>
      </c>
      <c r="P30" s="100">
        <f>M30*O30</f>
        <v>2</v>
      </c>
      <c r="Q30" s="100">
        <v>1</v>
      </c>
      <c r="R30" s="100">
        <f>'Définition SHADOW SOLAR EVO'!G23</f>
        <v>2</v>
      </c>
      <c r="S30" s="100"/>
      <c r="T30" s="274">
        <f>Q30*M30*R30</f>
        <v>2</v>
      </c>
      <c r="U30" s="100">
        <f>IF(K30=L30,1,0)</f>
        <v>1</v>
      </c>
      <c r="V30" s="100"/>
    </row>
    <row r="31" spans="2:22">
      <c r="B31" s="20" t="s">
        <v>615</v>
      </c>
      <c r="C31" s="274" t="str">
        <f>'Définition SHADOW SOLAR EVO'!G36</f>
        <v>FRANCE CONTINENTALE</v>
      </c>
      <c r="D31" s="619"/>
      <c r="E31" s="620"/>
      <c r="F31" s="621"/>
      <c r="G31" s="619"/>
      <c r="H31" s="620"/>
      <c r="I31" s="621"/>
      <c r="K31" s="20" t="str">
        <f>K30</f>
        <v>2x2 2 Pieds</v>
      </c>
      <c r="L31" s="100" t="s">
        <v>681</v>
      </c>
      <c r="M31" s="100">
        <f t="shared" ref="M31:M39" si="15">IF(K31=L31,1,0)</f>
        <v>0</v>
      </c>
      <c r="N31" s="100">
        <v>1</v>
      </c>
      <c r="O31" s="100">
        <f t="shared" ref="O31:O39" si="16">N31*$O$29</f>
        <v>2</v>
      </c>
      <c r="P31" s="100">
        <f t="shared" ref="P31:P39" si="17">M31*O31</f>
        <v>0</v>
      </c>
      <c r="Q31" s="100">
        <v>1</v>
      </c>
      <c r="R31" s="100">
        <f>R30</f>
        <v>2</v>
      </c>
      <c r="S31" s="100"/>
      <c r="T31" s="274">
        <f>Q31*M31*R31</f>
        <v>0</v>
      </c>
      <c r="U31" s="100">
        <f t="shared" ref="U31:U37" si="18">IF(K31=L31,1,0)</f>
        <v>0</v>
      </c>
      <c r="V31" s="100"/>
    </row>
    <row r="32" spans="2:22">
      <c r="B32" s="20" t="s">
        <v>626</v>
      </c>
      <c r="C32" s="274">
        <f>'Définition SHADOW SOLAR EVO'!G37</f>
        <v>0</v>
      </c>
      <c r="D32" s="619"/>
      <c r="E32" s="620"/>
      <c r="F32" s="621"/>
      <c r="G32" s="582">
        <f>IF(C27="No",IF(S25&gt;0,1,2),0)</f>
        <v>1</v>
      </c>
      <c r="H32" s="583"/>
      <c r="I32" s="572"/>
      <c r="K32" s="20" t="str">
        <f t="shared" ref="K32:K39" si="19">K31</f>
        <v>2x2 2 Pieds</v>
      </c>
      <c r="L32" s="100" t="s">
        <v>683</v>
      </c>
      <c r="M32" s="100">
        <f t="shared" si="15"/>
        <v>0</v>
      </c>
      <c r="N32" s="100">
        <v>2</v>
      </c>
      <c r="O32" s="100">
        <f t="shared" si="16"/>
        <v>4</v>
      </c>
      <c r="P32" s="100">
        <f t="shared" si="17"/>
        <v>0</v>
      </c>
      <c r="Q32" s="100">
        <v>2</v>
      </c>
      <c r="R32" s="100">
        <f t="shared" ref="R32:R39" si="20">R31</f>
        <v>2</v>
      </c>
      <c r="S32" s="100">
        <f>Q32*M32*R32</f>
        <v>0</v>
      </c>
      <c r="T32" s="274"/>
      <c r="U32" s="100"/>
      <c r="V32" s="100">
        <f t="shared" ref="V32:V39" si="21">IF(K32=L32,1,0)</f>
        <v>0</v>
      </c>
    </row>
    <row r="33" spans="1:37">
      <c r="B33" s="100" t="s">
        <v>612</v>
      </c>
      <c r="C33" s="100" t="s">
        <v>630</v>
      </c>
      <c r="D33" s="582">
        <f>MAX(D27:F32)</f>
        <v>2</v>
      </c>
      <c r="E33" s="583"/>
      <c r="F33" s="572"/>
      <c r="G33" s="582">
        <f>MAX(G27:I32)</f>
        <v>1</v>
      </c>
      <c r="H33" s="583"/>
      <c r="I33" s="572"/>
      <c r="K33" s="20" t="str">
        <f t="shared" si="19"/>
        <v>2x2 2 Pieds</v>
      </c>
      <c r="L33" s="100" t="s">
        <v>682</v>
      </c>
      <c r="M33" s="100">
        <f t="shared" si="15"/>
        <v>0</v>
      </c>
      <c r="N33" s="100">
        <v>2</v>
      </c>
      <c r="O33" s="100">
        <f t="shared" si="16"/>
        <v>4</v>
      </c>
      <c r="P33" s="100">
        <f t="shared" si="17"/>
        <v>0</v>
      </c>
      <c r="Q33" s="100">
        <v>2</v>
      </c>
      <c r="R33" s="100">
        <f t="shared" si="20"/>
        <v>2</v>
      </c>
      <c r="S33" s="100">
        <f t="shared" ref="S33:S39" si="22">Q33*M33*R33</f>
        <v>0</v>
      </c>
      <c r="T33" s="274"/>
      <c r="U33" s="100"/>
      <c r="V33" s="100">
        <f t="shared" si="21"/>
        <v>0</v>
      </c>
    </row>
    <row r="34" spans="1:37">
      <c r="B34" s="100">
        <v>0</v>
      </c>
      <c r="C34" s="100">
        <v>0</v>
      </c>
      <c r="K34" s="20" t="str">
        <f t="shared" si="19"/>
        <v>2x2 2 Pieds</v>
      </c>
      <c r="L34" s="100" t="s">
        <v>684</v>
      </c>
      <c r="M34" s="100">
        <f t="shared" si="15"/>
        <v>0</v>
      </c>
      <c r="N34" s="100">
        <v>2</v>
      </c>
      <c r="O34" s="100">
        <f t="shared" si="16"/>
        <v>4</v>
      </c>
      <c r="P34" s="100">
        <f t="shared" si="17"/>
        <v>0</v>
      </c>
      <c r="Q34" s="100">
        <v>2</v>
      </c>
      <c r="R34" s="100">
        <f t="shared" si="20"/>
        <v>2</v>
      </c>
      <c r="S34" s="100">
        <f t="shared" si="22"/>
        <v>0</v>
      </c>
      <c r="T34" s="274"/>
      <c r="U34" s="100"/>
      <c r="V34" s="100">
        <f t="shared" si="21"/>
        <v>0</v>
      </c>
    </row>
    <row r="35" spans="1:37">
      <c r="B35" s="100">
        <f>IF(D33&gt;0,1,0)</f>
        <v>1</v>
      </c>
      <c r="C35" s="100">
        <f>IF($G$33&gt;0,IF($G$33&gt;0,1,0),0)</f>
        <v>1</v>
      </c>
      <c r="K35" s="20" t="str">
        <f t="shared" si="19"/>
        <v>2x2 2 Pieds</v>
      </c>
      <c r="L35" s="100" t="s">
        <v>685</v>
      </c>
      <c r="M35" s="100">
        <f t="shared" si="15"/>
        <v>0</v>
      </c>
      <c r="N35" s="100">
        <v>2</v>
      </c>
      <c r="O35" s="100">
        <f t="shared" si="16"/>
        <v>4</v>
      </c>
      <c r="P35" s="100">
        <f t="shared" si="17"/>
        <v>0</v>
      </c>
      <c r="Q35" s="100">
        <v>2</v>
      </c>
      <c r="R35" s="100">
        <f t="shared" si="20"/>
        <v>2</v>
      </c>
      <c r="S35" s="100">
        <f t="shared" si="22"/>
        <v>0</v>
      </c>
      <c r="T35" s="274"/>
      <c r="U35" s="100"/>
      <c r="V35" s="100">
        <f t="shared" si="21"/>
        <v>0</v>
      </c>
    </row>
    <row r="36" spans="1:37">
      <c r="B36" s="100">
        <f>IF(D33&lt;3,IF(D33&gt;1,2,0),0)</f>
        <v>2</v>
      </c>
      <c r="C36" s="100">
        <f>IF($G$33&gt;1,IF($G$33&gt;0,2,0),0)</f>
        <v>0</v>
      </c>
      <c r="K36" s="20" t="str">
        <f t="shared" si="19"/>
        <v>2x2 2 Pieds</v>
      </c>
      <c r="L36" s="100" t="s">
        <v>687</v>
      </c>
      <c r="M36" s="100">
        <f t="shared" si="15"/>
        <v>0</v>
      </c>
      <c r="N36" s="100">
        <v>1</v>
      </c>
      <c r="O36" s="100">
        <f t="shared" si="16"/>
        <v>2</v>
      </c>
      <c r="P36" s="100">
        <f t="shared" si="17"/>
        <v>0</v>
      </c>
      <c r="Q36" s="100">
        <v>1</v>
      </c>
      <c r="R36" s="100">
        <f t="shared" si="20"/>
        <v>2</v>
      </c>
      <c r="S36" s="100"/>
      <c r="T36" s="274">
        <f t="shared" ref="T36:T37" si="23">Q36*M36*R36</f>
        <v>0</v>
      </c>
      <c r="U36" s="100">
        <f t="shared" si="18"/>
        <v>0</v>
      </c>
      <c r="V36" s="100"/>
    </row>
    <row r="37" spans="1:37">
      <c r="B37" s="100">
        <f>IF(D33&lt;4,IF(D33&gt;2,2,0),0)</f>
        <v>0</v>
      </c>
      <c r="C37" s="100">
        <f>IF($G$33&gt;2,IF($G$33&gt;0,3,0),0)</f>
        <v>0</v>
      </c>
      <c r="K37" s="20" t="str">
        <f t="shared" si="19"/>
        <v>2x2 2 Pieds</v>
      </c>
      <c r="L37" s="100" t="s">
        <v>686</v>
      </c>
      <c r="M37" s="100">
        <f t="shared" si="15"/>
        <v>0</v>
      </c>
      <c r="N37" s="100">
        <v>1</v>
      </c>
      <c r="O37" s="100">
        <f t="shared" si="16"/>
        <v>2</v>
      </c>
      <c r="P37" s="100">
        <f t="shared" si="17"/>
        <v>0</v>
      </c>
      <c r="Q37" s="100">
        <v>1</v>
      </c>
      <c r="R37" s="100">
        <f t="shared" si="20"/>
        <v>2</v>
      </c>
      <c r="S37" s="100"/>
      <c r="T37" s="274">
        <f t="shared" si="23"/>
        <v>0</v>
      </c>
      <c r="U37" s="100">
        <f t="shared" si="18"/>
        <v>0</v>
      </c>
      <c r="V37" s="100"/>
    </row>
    <row r="38" spans="1:37">
      <c r="B38" s="100">
        <f>IF(D33&lt;5,IF(D33&gt;3,2,0),0)</f>
        <v>0</v>
      </c>
      <c r="C38" s="100">
        <f>IF($G$33&gt;3,IF($G$33&gt;0,4,0),0)</f>
        <v>0</v>
      </c>
      <c r="K38" s="20" t="str">
        <f t="shared" si="19"/>
        <v>2x2 2 Pieds</v>
      </c>
      <c r="L38" s="100" t="s">
        <v>688</v>
      </c>
      <c r="M38" s="100">
        <f t="shared" si="15"/>
        <v>0</v>
      </c>
      <c r="N38" s="100">
        <v>2</v>
      </c>
      <c r="O38" s="100">
        <f t="shared" si="16"/>
        <v>4</v>
      </c>
      <c r="P38" s="100">
        <f t="shared" si="17"/>
        <v>0</v>
      </c>
      <c r="Q38" s="100">
        <v>2</v>
      </c>
      <c r="R38" s="100">
        <f t="shared" si="20"/>
        <v>2</v>
      </c>
      <c r="S38" s="100">
        <f t="shared" si="22"/>
        <v>0</v>
      </c>
      <c r="T38" s="274"/>
      <c r="U38" s="100"/>
      <c r="V38" s="100">
        <f t="shared" si="21"/>
        <v>0</v>
      </c>
    </row>
    <row r="39" spans="1:37">
      <c r="C39" s="100">
        <f>IF($G$33&gt;4,IF($G$33&gt;0,5,0),0)</f>
        <v>0</v>
      </c>
      <c r="K39" s="20" t="str">
        <f t="shared" si="19"/>
        <v>2x2 2 Pieds</v>
      </c>
      <c r="L39" s="100" t="s">
        <v>689</v>
      </c>
      <c r="M39" s="100">
        <f t="shared" si="15"/>
        <v>0</v>
      </c>
      <c r="N39" s="100">
        <v>2</v>
      </c>
      <c r="O39" s="100">
        <f t="shared" si="16"/>
        <v>4</v>
      </c>
      <c r="P39" s="100">
        <f t="shared" si="17"/>
        <v>0</v>
      </c>
      <c r="Q39" s="100">
        <v>2</v>
      </c>
      <c r="R39" s="100">
        <f t="shared" si="20"/>
        <v>2</v>
      </c>
      <c r="S39" s="100">
        <f t="shared" si="22"/>
        <v>0</v>
      </c>
      <c r="T39" s="274"/>
      <c r="U39" s="100"/>
      <c r="V39" s="100">
        <f t="shared" si="21"/>
        <v>0</v>
      </c>
    </row>
    <row r="40" spans="1:37">
      <c r="C40" s="100">
        <f>IF($G$33&gt;5,IF($G$33&gt;0,6,0),0)</f>
        <v>0</v>
      </c>
      <c r="P40" s="100">
        <f>SUM(P30:P39)</f>
        <v>2</v>
      </c>
      <c r="S40" s="100">
        <f t="shared" ref="S40:T40" si="24">SUM(S30:S39)</f>
        <v>0</v>
      </c>
      <c r="T40" s="274">
        <f t="shared" si="24"/>
        <v>2</v>
      </c>
      <c r="U40" s="20">
        <f>SUM(U30:U39)</f>
        <v>1</v>
      </c>
      <c r="V40" s="20">
        <f>SUM(V30:V39)</f>
        <v>0</v>
      </c>
    </row>
    <row r="41" spans="1:37">
      <c r="C41" s="100">
        <f>IF($G$33&gt;6,IF($G$33&gt;0,7,0),0)</f>
        <v>0</v>
      </c>
    </row>
    <row r="42" spans="1:37">
      <c r="C42" s="100">
        <f>IF($G$33&gt;7,IF($G$33&gt;0,8,0),0)</f>
        <v>0</v>
      </c>
    </row>
    <row r="43" spans="1:37">
      <c r="C43" s="100">
        <f>IF($G$33&gt;8,IF($G$33&gt;0,9,0),0)</f>
        <v>0</v>
      </c>
    </row>
    <row r="44" spans="1:37" ht="15.75" thickBot="1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20"/>
      <c r="L44" s="120"/>
      <c r="M44" s="120"/>
      <c r="N44" s="121"/>
      <c r="O44" s="121"/>
      <c r="P44" s="121"/>
      <c r="Q44" s="119"/>
      <c r="R44" s="122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</row>
    <row r="45" spans="1:37">
      <c r="A45" s="123" t="s">
        <v>469</v>
      </c>
      <c r="B45" s="222" t="s">
        <v>470</v>
      </c>
      <c r="C45" s="223"/>
      <c r="D45" s="605" t="s">
        <v>471</v>
      </c>
      <c r="E45" s="519" t="s">
        <v>472</v>
      </c>
      <c r="F45" s="520"/>
      <c r="G45" s="520"/>
      <c r="H45" s="521"/>
      <c r="J45" s="607" t="s">
        <v>473</v>
      </c>
      <c r="K45" s="608"/>
      <c r="L45" s="609"/>
      <c r="M45" s="124"/>
      <c r="N45" s="613" t="s">
        <v>474</v>
      </c>
      <c r="O45" s="614"/>
      <c r="P45" s="615"/>
      <c r="Q45" s="125"/>
      <c r="R45" s="122"/>
      <c r="S45" s="588" t="s">
        <v>475</v>
      </c>
      <c r="T45" s="589"/>
      <c r="U45" s="590"/>
      <c r="V45" s="119"/>
      <c r="W45" s="599" t="s">
        <v>476</v>
      </c>
      <c r="X45" s="600"/>
      <c r="Y45" s="126"/>
      <c r="AA45" s="603" t="s">
        <v>477</v>
      </c>
      <c r="AB45" s="603" t="s">
        <v>478</v>
      </c>
      <c r="AC45" s="603" t="s">
        <v>479</v>
      </c>
      <c r="AD45" s="603" t="s">
        <v>480</v>
      </c>
      <c r="AH45" s="119"/>
      <c r="AI45" s="119"/>
      <c r="AJ45" s="119"/>
      <c r="AK45" s="119"/>
    </row>
    <row r="46" spans="1:37" ht="15.75" thickBot="1">
      <c r="A46" s="127" t="s">
        <v>481</v>
      </c>
      <c r="B46" s="224"/>
      <c r="C46" s="225"/>
      <c r="D46" s="606"/>
      <c r="E46" s="522"/>
      <c r="F46" s="523"/>
      <c r="G46" s="523"/>
      <c r="H46" s="524"/>
      <c r="J46" s="610"/>
      <c r="K46" s="611"/>
      <c r="L46" s="612"/>
      <c r="M46" s="124"/>
      <c r="N46" s="616"/>
      <c r="O46" s="617"/>
      <c r="P46" s="618"/>
      <c r="Q46" s="125"/>
      <c r="R46" s="122"/>
      <c r="S46" s="591"/>
      <c r="T46" s="592"/>
      <c r="U46" s="593"/>
      <c r="V46" s="119"/>
      <c r="W46" s="601"/>
      <c r="X46" s="602"/>
      <c r="Y46" s="128"/>
      <c r="AA46" s="604"/>
      <c r="AB46" s="604"/>
      <c r="AC46" s="604"/>
      <c r="AD46" s="604"/>
      <c r="AH46" s="119"/>
      <c r="AI46" s="119"/>
      <c r="AJ46" s="119"/>
      <c r="AK46" s="119"/>
    </row>
    <row r="47" spans="1:37">
      <c r="A47" s="129">
        <v>22</v>
      </c>
      <c r="B47" s="229" t="s">
        <v>593</v>
      </c>
      <c r="C47" s="130"/>
      <c r="D47" s="132">
        <v>0</v>
      </c>
      <c r="E47" s="133"/>
      <c r="F47" s="226"/>
      <c r="G47" s="226"/>
      <c r="H47" s="134"/>
      <c r="J47" s="135"/>
      <c r="K47" s="136"/>
      <c r="L47" s="137"/>
      <c r="M47" s="138"/>
      <c r="N47" s="139" t="s">
        <v>482</v>
      </c>
      <c r="O47" s="140"/>
      <c r="P47" s="141">
        <v>5</v>
      </c>
      <c r="Q47" s="142" t="s">
        <v>483</v>
      </c>
      <c r="R47" s="122"/>
      <c r="S47" s="567" t="s">
        <v>484</v>
      </c>
      <c r="T47" s="597">
        <f>'Définition SHADOW SOLAR EVO'!M55</f>
        <v>0</v>
      </c>
      <c r="U47" s="570" t="s">
        <v>485</v>
      </c>
      <c r="V47" s="119"/>
      <c r="W47" s="584" t="s">
        <v>486</v>
      </c>
      <c r="X47" s="585"/>
      <c r="Y47" s="143">
        <f>Y51*Y53*Y55*Y57*1000</f>
        <v>360.00000000000006</v>
      </c>
      <c r="AA47" s="144" t="s">
        <v>487</v>
      </c>
      <c r="AB47" s="145">
        <v>0.8</v>
      </c>
      <c r="AC47" s="146" t="s">
        <v>488</v>
      </c>
      <c r="AD47" s="147">
        <v>0</v>
      </c>
      <c r="AH47" s="119"/>
      <c r="AI47" s="119"/>
      <c r="AJ47" s="119"/>
      <c r="AK47" s="119"/>
    </row>
    <row r="48" spans="1:37">
      <c r="A48" s="129">
        <v>24</v>
      </c>
      <c r="B48" s="148" t="s">
        <v>489</v>
      </c>
      <c r="C48" s="122"/>
      <c r="D48" s="132">
        <f>D47+1</f>
        <v>1</v>
      </c>
      <c r="E48" s="132"/>
      <c r="H48" s="149"/>
      <c r="J48" s="148"/>
      <c r="K48" s="122"/>
      <c r="L48" s="150"/>
      <c r="M48" s="122"/>
      <c r="N48" s="151" t="s">
        <v>490</v>
      </c>
      <c r="O48" s="152"/>
      <c r="P48" s="153">
        <v>5</v>
      </c>
      <c r="Q48" s="142" t="s">
        <v>483</v>
      </c>
      <c r="R48" s="122"/>
      <c r="S48" s="568"/>
      <c r="T48" s="597"/>
      <c r="U48" s="570"/>
      <c r="V48" s="119"/>
      <c r="W48" s="584"/>
      <c r="X48" s="585"/>
      <c r="Y48" s="154"/>
      <c r="AA48" s="144" t="s">
        <v>487</v>
      </c>
      <c r="AB48" s="145">
        <f>IF(P50&gt;=0,IF(P50&lt;=30,0.8,0))</f>
        <v>0.8</v>
      </c>
      <c r="AC48" s="145">
        <f>IF(P50&gt;=30,IF(P50&lt;=60,(0.8*(60-P50)/30),0),0)</f>
        <v>0</v>
      </c>
      <c r="AD48" s="147">
        <f>IF(P50&gt;=60,0,0)</f>
        <v>0</v>
      </c>
      <c r="AH48" s="119"/>
      <c r="AI48" s="119"/>
      <c r="AJ48" s="119"/>
      <c r="AK48" s="119"/>
    </row>
    <row r="49" spans="1:37">
      <c r="A49" s="129">
        <v>26</v>
      </c>
      <c r="B49" s="148" t="s">
        <v>491</v>
      </c>
      <c r="C49" s="122"/>
      <c r="D49" s="132">
        <f t="shared" ref="D49:D97" si="25">D48+1</f>
        <v>2</v>
      </c>
      <c r="E49" s="132"/>
      <c r="H49" s="149"/>
      <c r="J49" s="155"/>
      <c r="K49" s="138"/>
      <c r="L49" s="156"/>
      <c r="M49" s="138"/>
      <c r="N49" s="139" t="s">
        <v>492</v>
      </c>
      <c r="O49" s="140"/>
      <c r="P49" s="141">
        <v>3</v>
      </c>
      <c r="Q49" s="142" t="s">
        <v>483</v>
      </c>
      <c r="R49" s="138"/>
      <c r="S49" s="567" t="s">
        <v>493</v>
      </c>
      <c r="T49" s="597">
        <f>'Définition SHADOW SOLAR EVO'!M52</f>
        <v>0</v>
      </c>
      <c r="U49" s="570" t="s">
        <v>485</v>
      </c>
      <c r="V49" s="119"/>
      <c r="W49" s="584" t="s">
        <v>494</v>
      </c>
      <c r="X49" s="585"/>
      <c r="Y49" s="143">
        <f>Y51*Y53*Y55*Y58*1000</f>
        <v>800</v>
      </c>
      <c r="AH49" s="119"/>
      <c r="AI49" s="119"/>
      <c r="AJ49" s="119"/>
      <c r="AK49" s="119"/>
    </row>
    <row r="50" spans="1:37">
      <c r="A50" s="129">
        <v>28</v>
      </c>
      <c r="B50" s="148" t="s">
        <v>433</v>
      </c>
      <c r="C50" s="122"/>
      <c r="D50" s="132">
        <f t="shared" si="25"/>
        <v>3</v>
      </c>
      <c r="E50" s="132"/>
      <c r="H50" s="149"/>
      <c r="J50" s="157"/>
      <c r="K50" s="158"/>
      <c r="L50" s="159"/>
      <c r="M50" s="158"/>
      <c r="N50" s="146" t="s">
        <v>495</v>
      </c>
      <c r="O50" s="160"/>
      <c r="P50" s="161">
        <f>D98</f>
        <v>7.5</v>
      </c>
      <c r="Q50" s="142" t="s">
        <v>496</v>
      </c>
      <c r="R50" s="158"/>
      <c r="S50" s="568"/>
      <c r="T50" s="597"/>
      <c r="U50" s="570"/>
      <c r="V50" s="119"/>
      <c r="W50" s="584"/>
      <c r="X50" s="585"/>
      <c r="Y50" s="162"/>
      <c r="AH50" s="119"/>
      <c r="AI50" s="119"/>
      <c r="AJ50" s="119"/>
      <c r="AK50" s="119"/>
    </row>
    <row r="51" spans="1:37">
      <c r="A51" s="129">
        <v>30</v>
      </c>
      <c r="B51" s="148" t="s">
        <v>497</v>
      </c>
      <c r="C51" s="122"/>
      <c r="D51" s="132">
        <f t="shared" si="25"/>
        <v>4</v>
      </c>
      <c r="E51" s="132"/>
      <c r="H51" s="149"/>
      <c r="J51" s="163"/>
      <c r="K51" s="164"/>
      <c r="L51" s="165"/>
      <c r="M51" s="164"/>
      <c r="N51" s="146" t="s">
        <v>498</v>
      </c>
      <c r="O51" s="160"/>
      <c r="P51" s="161">
        <v>0</v>
      </c>
      <c r="Q51" s="142" t="s">
        <v>483</v>
      </c>
      <c r="R51" s="164"/>
      <c r="S51" s="164"/>
      <c r="T51" s="164"/>
      <c r="U51" s="164"/>
      <c r="V51" s="119"/>
      <c r="W51" s="584" t="s">
        <v>499</v>
      </c>
      <c r="X51" s="585"/>
      <c r="Y51" s="598">
        <f>IF(Y60&gt;0,IF(Y60&lt;=30,0.8,IF(#REF!="non",(0.8*(60-Y60)/30),0.8)))</f>
        <v>0.8</v>
      </c>
      <c r="AH51" s="119"/>
      <c r="AI51" s="119"/>
      <c r="AJ51" s="119"/>
      <c r="AK51" s="119"/>
    </row>
    <row r="52" spans="1:37">
      <c r="A52" s="129">
        <v>32</v>
      </c>
      <c r="B52" s="148"/>
      <c r="C52" s="122"/>
      <c r="D52" s="132">
        <f t="shared" si="25"/>
        <v>5</v>
      </c>
      <c r="E52" s="132"/>
      <c r="H52" s="149"/>
      <c r="J52" s="157"/>
      <c r="K52" s="158"/>
      <c r="L52" s="159"/>
      <c r="M52" s="158"/>
      <c r="N52" s="146" t="s">
        <v>500</v>
      </c>
      <c r="O52" s="160"/>
      <c r="P52" s="161">
        <v>0</v>
      </c>
      <c r="Q52" s="142" t="s">
        <v>483</v>
      </c>
      <c r="R52" s="158"/>
      <c r="S52" s="588" t="s">
        <v>645</v>
      </c>
      <c r="T52" s="589"/>
      <c r="U52" s="590"/>
      <c r="V52" s="119"/>
      <c r="W52" s="584"/>
      <c r="X52" s="585"/>
      <c r="Y52" s="598"/>
      <c r="AA52" s="119"/>
      <c r="AB52" s="119"/>
      <c r="AC52" s="119"/>
      <c r="AD52" s="119"/>
      <c r="AE52" s="119"/>
      <c r="AF52" s="594" t="s">
        <v>501</v>
      </c>
      <c r="AG52" s="595"/>
      <c r="AH52" s="594" t="s">
        <v>502</v>
      </c>
      <c r="AI52" s="595"/>
      <c r="AJ52" s="594" t="s">
        <v>503</v>
      </c>
      <c r="AK52" s="595"/>
    </row>
    <row r="53" spans="1:37">
      <c r="A53" s="129">
        <v>34</v>
      </c>
      <c r="B53" s="148"/>
      <c r="C53" s="122"/>
      <c r="D53" s="132">
        <f t="shared" si="25"/>
        <v>6</v>
      </c>
      <c r="E53" s="132"/>
      <c r="H53" s="149"/>
      <c r="J53" s="166"/>
      <c r="K53" s="167"/>
      <c r="L53" s="168"/>
      <c r="M53" s="167"/>
      <c r="N53" s="146" t="s">
        <v>504</v>
      </c>
      <c r="O53" s="160"/>
      <c r="P53" s="161">
        <f>Y57</f>
        <v>0.45</v>
      </c>
      <c r="Q53" s="119"/>
      <c r="R53" s="167"/>
      <c r="S53" s="591"/>
      <c r="T53" s="592"/>
      <c r="U53" s="593"/>
      <c r="V53" s="119"/>
      <c r="W53" s="584" t="s">
        <v>505</v>
      </c>
      <c r="X53" s="585"/>
      <c r="Y53" s="596">
        <v>1</v>
      </c>
      <c r="AA53" s="100" t="s">
        <v>506</v>
      </c>
      <c r="AB53" s="100" t="s">
        <v>504</v>
      </c>
      <c r="AC53" s="100" t="s">
        <v>507</v>
      </c>
      <c r="AD53" s="100" t="s">
        <v>508</v>
      </c>
      <c r="AE53" s="100" t="s">
        <v>509</v>
      </c>
      <c r="AF53" s="100" t="s">
        <v>510</v>
      </c>
      <c r="AG53" s="100" t="s">
        <v>511</v>
      </c>
      <c r="AH53" s="100" t="s">
        <v>510</v>
      </c>
      <c r="AI53" s="100" t="s">
        <v>511</v>
      </c>
      <c r="AJ53" s="100" t="s">
        <v>510</v>
      </c>
      <c r="AK53" s="100" t="s">
        <v>511</v>
      </c>
    </row>
    <row r="54" spans="1:37">
      <c r="A54" s="129">
        <v>36</v>
      </c>
      <c r="B54" s="148"/>
      <c r="C54" s="122"/>
      <c r="D54" s="132">
        <f t="shared" si="25"/>
        <v>7</v>
      </c>
      <c r="E54" s="132"/>
      <c r="H54" s="149"/>
      <c r="J54" s="166"/>
      <c r="K54" s="167"/>
      <c r="L54" s="168"/>
      <c r="M54" s="167"/>
      <c r="N54" s="146" t="s">
        <v>512</v>
      </c>
      <c r="O54" s="160"/>
      <c r="P54" s="161">
        <f>AB48+AC48+AD48</f>
        <v>0.8</v>
      </c>
      <c r="Q54" s="119"/>
      <c r="R54" s="167"/>
      <c r="S54" s="567" t="s">
        <v>484</v>
      </c>
      <c r="T54" s="569">
        <f>P71</f>
        <v>482.47999999999996</v>
      </c>
      <c r="U54" s="570" t="s">
        <v>485</v>
      </c>
      <c r="V54" s="119"/>
      <c r="W54" s="584"/>
      <c r="X54" s="585"/>
      <c r="Y54" s="596"/>
      <c r="AA54" s="20" t="s">
        <v>513</v>
      </c>
      <c r="AB54" s="100">
        <v>0.45</v>
      </c>
      <c r="AC54" s="100">
        <v>0.45</v>
      </c>
      <c r="AD54" s="100">
        <v>0</v>
      </c>
      <c r="AE54" s="100">
        <v>0</v>
      </c>
      <c r="AF54" s="100">
        <f>(Y61/1000)-0.2</f>
        <v>0.3</v>
      </c>
      <c r="AG54" s="169"/>
      <c r="AH54" s="100">
        <f>1.5*(Y61/1000)-0.45</f>
        <v>0.3</v>
      </c>
      <c r="AI54" s="169"/>
      <c r="AJ54" s="100">
        <f>3.5*(Y61/1000)-2.45</f>
        <v>-0.70000000000000018</v>
      </c>
      <c r="AK54" s="169"/>
    </row>
    <row r="55" spans="1:37">
      <c r="A55" s="170"/>
      <c r="B55" s="148"/>
      <c r="C55" s="122"/>
      <c r="D55" s="132">
        <f t="shared" si="25"/>
        <v>8</v>
      </c>
      <c r="E55" s="132"/>
      <c r="H55" s="149"/>
      <c r="J55" s="166"/>
      <c r="K55" s="167"/>
      <c r="L55" s="168"/>
      <c r="M55" s="167"/>
      <c r="N55" s="146" t="s">
        <v>514</v>
      </c>
      <c r="O55" s="160"/>
      <c r="P55" s="161">
        <f>IF(P49&lt;=7.5,IF(P49&gt;=2.5,2*P49,0),0)</f>
        <v>6</v>
      </c>
      <c r="Q55" s="142" t="s">
        <v>483</v>
      </c>
      <c r="R55" s="167"/>
      <c r="S55" s="568"/>
      <c r="T55" s="569"/>
      <c r="U55" s="570"/>
      <c r="V55" s="119"/>
      <c r="W55" s="584" t="s">
        <v>515</v>
      </c>
      <c r="X55" s="585"/>
      <c r="Y55" s="596">
        <v>1</v>
      </c>
      <c r="AA55" s="20" t="s">
        <v>434</v>
      </c>
      <c r="AB55" s="100">
        <v>0.45</v>
      </c>
      <c r="AC55" s="100">
        <v>0.45</v>
      </c>
      <c r="AD55" s="100">
        <v>1</v>
      </c>
      <c r="AE55" s="100">
        <v>1</v>
      </c>
      <c r="AF55" s="100">
        <f>(Y61/1000)-0.2</f>
        <v>0.3</v>
      </c>
      <c r="AG55" s="169"/>
      <c r="AH55" s="100">
        <f>1.5*(Y61/1000)-0.45</f>
        <v>0.3</v>
      </c>
      <c r="AI55" s="169"/>
      <c r="AJ55" s="100">
        <f>3.5*(Y61/1000)-2.45</f>
        <v>-0.70000000000000018</v>
      </c>
      <c r="AK55" s="169"/>
    </row>
    <row r="56" spans="1:37">
      <c r="A56" s="170"/>
      <c r="B56" s="148"/>
      <c r="C56" s="122"/>
      <c r="D56" s="132">
        <f t="shared" si="25"/>
        <v>9</v>
      </c>
      <c r="E56" s="132"/>
      <c r="H56" s="149"/>
      <c r="J56" s="166"/>
      <c r="K56" s="167"/>
      <c r="L56" s="168"/>
      <c r="M56" s="167"/>
      <c r="N56" s="139" t="s">
        <v>516</v>
      </c>
      <c r="O56" s="140"/>
      <c r="P56" s="143">
        <f>'Définition SHADOW SOLAR EVO'!M48</f>
        <v>500</v>
      </c>
      <c r="Q56" s="142" t="s">
        <v>483</v>
      </c>
      <c r="R56" s="167"/>
      <c r="S56" s="567" t="s">
        <v>493</v>
      </c>
      <c r="T56" s="569">
        <f>IF(Y49=0,Y47,MAX(Y47:Y49))</f>
        <v>800</v>
      </c>
      <c r="U56" s="570" t="s">
        <v>485</v>
      </c>
      <c r="V56" s="119"/>
      <c r="W56" s="584"/>
      <c r="X56" s="585"/>
      <c r="Y56" s="596"/>
      <c r="AA56" s="20" t="s">
        <v>517</v>
      </c>
      <c r="AB56" s="100">
        <v>0.55000000000000004</v>
      </c>
      <c r="AC56" s="100">
        <v>0.55000000000000004</v>
      </c>
      <c r="AD56" s="100">
        <v>1</v>
      </c>
      <c r="AE56" s="100">
        <v>1</v>
      </c>
      <c r="AF56" s="100">
        <f>(Y61/1000)-0.2</f>
        <v>0.3</v>
      </c>
      <c r="AG56" s="169"/>
      <c r="AH56" s="100">
        <f>1.5*(Y61/1000)-0.45</f>
        <v>0.3</v>
      </c>
      <c r="AI56" s="169"/>
      <c r="AJ56" s="100">
        <f>3.5*(Y61/1000)-2.45</f>
        <v>-0.70000000000000018</v>
      </c>
      <c r="AK56" s="169"/>
    </row>
    <row r="57" spans="1:37">
      <c r="A57" s="170"/>
      <c r="B57" s="148"/>
      <c r="C57" s="122"/>
      <c r="D57" s="132">
        <f t="shared" si="25"/>
        <v>10</v>
      </c>
      <c r="E57" s="132"/>
      <c r="H57" s="149"/>
      <c r="J57" s="166"/>
      <c r="K57" s="167"/>
      <c r="L57" s="168"/>
      <c r="M57" s="167"/>
      <c r="N57" s="171" t="s">
        <v>518</v>
      </c>
      <c r="O57" s="172"/>
      <c r="P57" s="100">
        <v>296</v>
      </c>
      <c r="Q57" s="142" t="s">
        <v>485</v>
      </c>
      <c r="R57" s="167">
        <f>P57/22</f>
        <v>13.454545454545455</v>
      </c>
      <c r="S57" s="568"/>
      <c r="T57" s="569"/>
      <c r="U57" s="570"/>
      <c r="V57" s="119"/>
      <c r="W57" s="584" t="s">
        <v>504</v>
      </c>
      <c r="X57" s="585"/>
      <c r="Y57" s="173">
        <f>IF(Y59="A1",AB54,IF(Y59="A2",AB55,IF(Y59="B1",AB56,IF(Y59="B2",AB57,IF(Y59="C1",AB58,IF(Y59="C2",AB59,IF(Y59="D",AB60,IF(Y59="E",AB61,))))))))</f>
        <v>0.45</v>
      </c>
      <c r="AA57" s="20" t="s">
        <v>519</v>
      </c>
      <c r="AB57" s="100">
        <v>0.55000000000000004</v>
      </c>
      <c r="AC57" s="100">
        <v>0.55000000000000004</v>
      </c>
      <c r="AD57" s="100">
        <v>1.35</v>
      </c>
      <c r="AE57" s="100">
        <v>1.35</v>
      </c>
      <c r="AF57" s="100">
        <f>(Y61/1000)-0.2</f>
        <v>0.3</v>
      </c>
      <c r="AG57" s="169"/>
      <c r="AH57" s="100">
        <f>1.5*(Y61/1000)-0.45</f>
        <v>0.3</v>
      </c>
      <c r="AI57" s="169"/>
      <c r="AJ57" s="100">
        <f>3.5*(Y61/1000)-2.45</f>
        <v>-0.70000000000000018</v>
      </c>
      <c r="AK57" s="169"/>
    </row>
    <row r="58" spans="1:37">
      <c r="A58" s="174">
        <f>'Définition SHADOW SOLAR EVO'!M54</f>
        <v>22</v>
      </c>
      <c r="B58" s="148"/>
      <c r="C58" s="122"/>
      <c r="D58" s="132">
        <f t="shared" si="25"/>
        <v>11</v>
      </c>
      <c r="E58" s="132"/>
      <c r="H58" s="149"/>
      <c r="J58" s="166"/>
      <c r="K58" s="167"/>
      <c r="L58" s="168"/>
      <c r="M58" s="167"/>
      <c r="N58" s="171" t="s">
        <v>520</v>
      </c>
      <c r="O58" s="172"/>
      <c r="P58" s="100">
        <v>353</v>
      </c>
      <c r="Q58" s="142" t="s">
        <v>485</v>
      </c>
      <c r="R58" s="167">
        <f>P58/24</f>
        <v>14.708333333333334</v>
      </c>
      <c r="S58" s="167"/>
      <c r="T58" s="167"/>
      <c r="U58" s="167"/>
      <c r="V58" s="119"/>
      <c r="W58" s="584" t="s">
        <v>508</v>
      </c>
      <c r="X58" s="585"/>
      <c r="Y58" s="173">
        <f>IF(Y59="A1",AD54,IF(Y59="A2",AD55,IF(Y59="B1",AD56,IF(Y59="B2",AD57,IF(Y59="C1",AD58,IF(Y59="C2",AD59,IF(Y59="D",AD60,IF(Y59="E",AD61,))))))))</f>
        <v>1</v>
      </c>
      <c r="AA58" s="20" t="s">
        <v>521</v>
      </c>
      <c r="AB58" s="100">
        <v>0.65</v>
      </c>
      <c r="AC58" s="100">
        <v>0.65</v>
      </c>
      <c r="AD58" s="100">
        <v>0</v>
      </c>
      <c r="AE58" s="100">
        <v>0</v>
      </c>
      <c r="AF58" s="100">
        <f>(Y61/1000)-0.2</f>
        <v>0.3</v>
      </c>
      <c r="AG58" s="169"/>
      <c r="AH58" s="100">
        <f>1.5*(Y61/1000)-0.45</f>
        <v>0.3</v>
      </c>
      <c r="AI58" s="169"/>
      <c r="AJ58" s="100">
        <f>3.5*(Y61/1000)-2.45</f>
        <v>-0.70000000000000018</v>
      </c>
      <c r="AK58" s="169"/>
    </row>
    <row r="59" spans="1:37">
      <c r="A59" s="170"/>
      <c r="B59" s="148"/>
      <c r="C59" s="122"/>
      <c r="D59" s="132">
        <f t="shared" si="25"/>
        <v>12</v>
      </c>
      <c r="E59" s="132"/>
      <c r="H59" s="149"/>
      <c r="J59" s="166"/>
      <c r="K59" s="167"/>
      <c r="L59" s="168"/>
      <c r="M59" s="167"/>
      <c r="N59" s="171" t="s">
        <v>522</v>
      </c>
      <c r="O59" s="172"/>
      <c r="P59" s="100">
        <v>414</v>
      </c>
      <c r="Q59" s="142" t="s">
        <v>485</v>
      </c>
      <c r="R59" s="167">
        <f>P59/26</f>
        <v>15.923076923076923</v>
      </c>
      <c r="S59" s="588" t="s">
        <v>646</v>
      </c>
      <c r="T59" s="589"/>
      <c r="U59" s="590"/>
      <c r="V59" s="119"/>
      <c r="W59" s="584" t="s">
        <v>506</v>
      </c>
      <c r="X59" s="585"/>
      <c r="Y59" s="101" t="str">
        <f>'Définition SHADOW SOLAR EVO'!M51</f>
        <v>A2</v>
      </c>
      <c r="AA59" s="20" t="s">
        <v>523</v>
      </c>
      <c r="AB59" s="100">
        <v>0.65</v>
      </c>
      <c r="AC59" s="100">
        <v>0.65</v>
      </c>
      <c r="AD59" s="100">
        <v>1.35</v>
      </c>
      <c r="AE59" s="100">
        <v>1.35</v>
      </c>
      <c r="AF59" s="100">
        <f>(Y61/1000)-0.2</f>
        <v>0.3</v>
      </c>
      <c r="AG59" s="169"/>
      <c r="AH59" s="100">
        <f>1.5*(Y61/1000)-0.45</f>
        <v>0.3</v>
      </c>
      <c r="AI59" s="169"/>
      <c r="AJ59" s="100">
        <f>3.5*(Y61/1000)-2.45</f>
        <v>-0.70000000000000018</v>
      </c>
      <c r="AK59" s="169"/>
    </row>
    <row r="60" spans="1:37">
      <c r="A60" s="170"/>
      <c r="B60" s="148"/>
      <c r="C60" s="122"/>
      <c r="D60" s="132">
        <f t="shared" si="25"/>
        <v>13</v>
      </c>
      <c r="E60" s="132"/>
      <c r="H60" s="149"/>
      <c r="J60" s="166"/>
      <c r="K60" s="167"/>
      <c r="L60" s="168"/>
      <c r="M60" s="167"/>
      <c r="N60" s="171" t="s">
        <v>524</v>
      </c>
      <c r="O60" s="172"/>
      <c r="P60" s="100">
        <v>480</v>
      </c>
      <c r="Q60" s="142" t="s">
        <v>485</v>
      </c>
      <c r="R60" s="167">
        <f>P60/28</f>
        <v>17.142857142857142</v>
      </c>
      <c r="S60" s="591"/>
      <c r="T60" s="592"/>
      <c r="U60" s="593"/>
      <c r="V60" s="119"/>
      <c r="W60" s="584" t="s">
        <v>525</v>
      </c>
      <c r="X60" s="585"/>
      <c r="Y60" s="175">
        <f>D98</f>
        <v>7.5</v>
      </c>
      <c r="AA60" s="20" t="s">
        <v>526</v>
      </c>
      <c r="AB60" s="100">
        <v>0.9</v>
      </c>
      <c r="AC60" s="100">
        <v>0.9</v>
      </c>
      <c r="AD60" s="100">
        <v>1.8</v>
      </c>
      <c r="AE60" s="100">
        <v>1.8</v>
      </c>
      <c r="AF60" s="100">
        <f>(Y61/1000)-0.2</f>
        <v>0.3</v>
      </c>
      <c r="AG60" s="169"/>
      <c r="AH60" s="100">
        <f>1.5*(Y61/1000)-0.45</f>
        <v>0.3</v>
      </c>
      <c r="AI60" s="169"/>
      <c r="AJ60" s="100">
        <f>3.5*(Y61/1000)-2.45</f>
        <v>-0.70000000000000018</v>
      </c>
      <c r="AK60" s="169"/>
    </row>
    <row r="61" spans="1:37">
      <c r="A61" s="170"/>
      <c r="B61" s="148"/>
      <c r="C61" s="122"/>
      <c r="D61" s="132">
        <f t="shared" si="25"/>
        <v>14</v>
      </c>
      <c r="E61" s="132"/>
      <c r="H61" s="149"/>
      <c r="J61" s="166"/>
      <c r="K61" s="167"/>
      <c r="L61" s="168"/>
      <c r="M61" s="167"/>
      <c r="N61" s="171" t="s">
        <v>693</v>
      </c>
      <c r="O61" s="172"/>
      <c r="P61" s="100">
        <f>R61*30</f>
        <v>540</v>
      </c>
      <c r="Q61" s="142" t="s">
        <v>485</v>
      </c>
      <c r="R61" s="119">
        <v>18</v>
      </c>
      <c r="S61" s="567" t="s">
        <v>484</v>
      </c>
      <c r="T61" s="569">
        <f>IF(T47&gt;0,T47,T54)</f>
        <v>482.47999999999996</v>
      </c>
      <c r="U61" s="570" t="s">
        <v>485</v>
      </c>
      <c r="V61" s="119"/>
      <c r="W61" s="586" t="s">
        <v>527</v>
      </c>
      <c r="X61" s="587"/>
      <c r="Y61" s="320">
        <f>P56</f>
        <v>500</v>
      </c>
      <c r="AA61" s="20" t="s">
        <v>528</v>
      </c>
      <c r="AB61" s="100">
        <v>1.4</v>
      </c>
      <c r="AC61" s="100">
        <v>1.4</v>
      </c>
      <c r="AD61" s="100">
        <v>0</v>
      </c>
      <c r="AE61" s="100">
        <v>0</v>
      </c>
      <c r="AF61" s="169"/>
      <c r="AG61" s="100">
        <f>(1.5*Y61/1000)-0.3</f>
        <v>0.45</v>
      </c>
      <c r="AH61" s="169"/>
      <c r="AI61" s="100">
        <f>(3.5*Y61/1000)-1.3</f>
        <v>0.44999999999999996</v>
      </c>
      <c r="AJ61" s="169"/>
      <c r="AK61" s="100">
        <f>(7*Y61/1000)-4.8</f>
        <v>-1.2999999999999998</v>
      </c>
    </row>
    <row r="62" spans="1:37">
      <c r="A62" s="170"/>
      <c r="B62" s="148"/>
      <c r="C62" s="122"/>
      <c r="D62" s="132">
        <f t="shared" si="25"/>
        <v>15</v>
      </c>
      <c r="E62" s="132"/>
      <c r="H62" s="149"/>
      <c r="J62" s="166"/>
      <c r="K62" s="167"/>
      <c r="L62" s="168"/>
      <c r="M62" s="167"/>
      <c r="N62" s="171" t="s">
        <v>694</v>
      </c>
      <c r="O62" s="172"/>
      <c r="P62" s="100">
        <f>R62*32</f>
        <v>608</v>
      </c>
      <c r="Q62" s="142" t="s">
        <v>485</v>
      </c>
      <c r="R62" s="167">
        <v>19</v>
      </c>
      <c r="S62" s="568"/>
      <c r="T62" s="569"/>
      <c r="U62" s="570"/>
      <c r="V62" s="119"/>
      <c r="W62" s="119"/>
      <c r="X62" s="119"/>
      <c r="Y62" s="119"/>
      <c r="AH62" s="119"/>
      <c r="AI62" s="119"/>
      <c r="AJ62" s="119"/>
      <c r="AK62" s="119"/>
    </row>
    <row r="63" spans="1:37">
      <c r="A63" s="170"/>
      <c r="B63" s="148"/>
      <c r="C63" s="122"/>
      <c r="D63" s="132">
        <f t="shared" si="25"/>
        <v>16</v>
      </c>
      <c r="E63" s="132"/>
      <c r="H63" s="149"/>
      <c r="J63" s="166"/>
      <c r="K63" s="167"/>
      <c r="L63" s="168"/>
      <c r="M63" s="167"/>
      <c r="N63" s="171" t="s">
        <v>695</v>
      </c>
      <c r="O63" s="172"/>
      <c r="P63" s="100">
        <f>R63*34</f>
        <v>680</v>
      </c>
      <c r="Q63" s="142" t="s">
        <v>485</v>
      </c>
      <c r="R63" s="167">
        <v>20</v>
      </c>
      <c r="S63" s="567" t="s">
        <v>493</v>
      </c>
      <c r="T63" s="569">
        <f>IF(T49&gt;0,T49,T56)</f>
        <v>800</v>
      </c>
      <c r="U63" s="570" t="s">
        <v>485</v>
      </c>
      <c r="V63" s="119"/>
      <c r="W63" s="119"/>
      <c r="X63" s="119"/>
      <c r="Y63" s="119"/>
      <c r="AH63" s="119"/>
      <c r="AI63" s="119"/>
      <c r="AJ63" s="119"/>
      <c r="AK63" s="119"/>
    </row>
    <row r="64" spans="1:37">
      <c r="A64" s="170"/>
      <c r="B64" s="148"/>
      <c r="C64" s="122"/>
      <c r="D64" s="132">
        <f t="shared" si="25"/>
        <v>17</v>
      </c>
      <c r="E64" s="132"/>
      <c r="H64" s="149"/>
      <c r="J64" s="166"/>
      <c r="K64" s="167"/>
      <c r="L64" s="168"/>
      <c r="M64" s="167"/>
      <c r="N64" s="171" t="s">
        <v>696</v>
      </c>
      <c r="O64" s="172"/>
      <c r="P64" s="100">
        <f>R64*36</f>
        <v>756</v>
      </c>
      <c r="Q64" s="142" t="s">
        <v>485</v>
      </c>
      <c r="R64" s="167">
        <v>21</v>
      </c>
      <c r="S64" s="568"/>
      <c r="T64" s="569"/>
      <c r="U64" s="570"/>
      <c r="V64" s="119"/>
      <c r="W64" s="119"/>
      <c r="X64" s="119"/>
      <c r="Y64" s="119"/>
      <c r="AH64" s="119"/>
      <c r="AI64" s="119"/>
      <c r="AJ64" s="119"/>
      <c r="AK64" s="119"/>
    </row>
    <row r="65" spans="1:37">
      <c r="A65" s="170"/>
      <c r="B65" s="148"/>
      <c r="C65" s="122"/>
      <c r="D65" s="132">
        <f t="shared" si="25"/>
        <v>18</v>
      </c>
      <c r="E65" s="132"/>
      <c r="H65" s="149"/>
      <c r="J65" s="166"/>
      <c r="K65" s="167"/>
      <c r="L65" s="168"/>
      <c r="M65" s="167"/>
      <c r="R65" s="119"/>
      <c r="S65" s="119"/>
      <c r="T65" s="119"/>
      <c r="U65" s="167"/>
      <c r="V65" s="119"/>
      <c r="W65" s="119"/>
      <c r="X65" s="119"/>
      <c r="Y65" s="119"/>
      <c r="AH65" s="119"/>
      <c r="AI65" s="119"/>
      <c r="AJ65" s="119"/>
      <c r="AK65" s="119"/>
    </row>
    <row r="66" spans="1:37">
      <c r="A66" s="170"/>
      <c r="B66" s="148"/>
      <c r="C66" s="122"/>
      <c r="D66" s="132">
        <f t="shared" si="25"/>
        <v>19</v>
      </c>
      <c r="E66" s="132"/>
      <c r="H66" s="149"/>
      <c r="J66" s="166"/>
      <c r="K66" s="167"/>
      <c r="L66" s="168"/>
      <c r="M66" s="167"/>
      <c r="N66" s="146" t="s">
        <v>529</v>
      </c>
      <c r="O66" s="176"/>
      <c r="P66" s="141">
        <f>A58</f>
        <v>22</v>
      </c>
      <c r="Q66" s="142" t="s">
        <v>530</v>
      </c>
      <c r="R66" s="119"/>
      <c r="S66" s="167"/>
      <c r="T66" s="167"/>
      <c r="U66" s="167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</row>
    <row r="67" spans="1:37">
      <c r="A67" s="170"/>
      <c r="B67" s="148"/>
      <c r="C67" s="122"/>
      <c r="D67" s="132">
        <f t="shared" si="25"/>
        <v>20</v>
      </c>
      <c r="E67" s="132"/>
      <c r="H67" s="149"/>
      <c r="J67" s="166"/>
      <c r="K67" s="167"/>
      <c r="L67" s="168"/>
      <c r="M67" s="167"/>
      <c r="N67" s="171" t="s">
        <v>531</v>
      </c>
      <c r="O67" s="177"/>
      <c r="P67" s="100">
        <f>IF(P66=22,P57,IF(P66=24,P58,IF(P66=26,P59,IF(P66=28,P60,IF(P66=30,P61,IF(P66=32,P62,IF(P66=34,P63,IF(P66=36,P64,0))))))))</f>
        <v>296</v>
      </c>
      <c r="Q67" s="142" t="s">
        <v>485</v>
      </c>
      <c r="R67" s="167"/>
      <c r="S67" s="167"/>
      <c r="T67" s="167"/>
      <c r="U67" s="167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</row>
    <row r="68" spans="1:37">
      <c r="A68" s="170"/>
      <c r="B68" s="148"/>
      <c r="C68" s="122"/>
      <c r="D68" s="132">
        <f t="shared" si="25"/>
        <v>21</v>
      </c>
      <c r="E68" s="132"/>
      <c r="H68" s="149"/>
      <c r="J68" s="166"/>
      <c r="K68" s="167"/>
      <c r="L68" s="168"/>
      <c r="M68" s="167"/>
      <c r="N68" s="146" t="s">
        <v>470</v>
      </c>
      <c r="O68" s="160"/>
      <c r="P68" s="178" t="str">
        <f>'Définition SHADOW SOLAR EVO'!M49</f>
        <v>II</v>
      </c>
      <c r="Q68" s="119"/>
      <c r="R68" s="167"/>
      <c r="S68" s="167"/>
      <c r="T68" s="167"/>
      <c r="U68" s="167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</row>
    <row r="69" spans="1:37" ht="15.75">
      <c r="A69" s="170"/>
      <c r="B69" s="148"/>
      <c r="C69" s="122"/>
      <c r="D69" s="132">
        <f t="shared" si="25"/>
        <v>22</v>
      </c>
      <c r="E69" s="132"/>
      <c r="H69" s="149"/>
      <c r="J69" s="166"/>
      <c r="K69" s="167"/>
      <c r="L69" s="168"/>
      <c r="M69" s="167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324" t="s">
        <v>648</v>
      </c>
      <c r="AB69" s="325">
        <f>'Définition SHADOW SOLAR EVO'!M58</f>
        <v>482.47999999999996</v>
      </c>
      <c r="AC69" s="97" t="str">
        <f>IF(AB69&lt;AH82,Traduction!A76,Traduction!A77)</f>
        <v>Charges OK</v>
      </c>
      <c r="AD69" s="2"/>
      <c r="AE69" s="512" t="s">
        <v>642</v>
      </c>
      <c r="AF69" s="515" t="s">
        <v>643</v>
      </c>
      <c r="AG69" s="119"/>
      <c r="AH69" s="119"/>
      <c r="AI69" s="119"/>
      <c r="AJ69" s="119"/>
      <c r="AK69" s="119"/>
    </row>
    <row r="70" spans="1:37" ht="16.5">
      <c r="A70" s="170"/>
      <c r="B70" s="148"/>
      <c r="C70" s="122"/>
      <c r="D70" s="132">
        <f t="shared" si="25"/>
        <v>23</v>
      </c>
      <c r="E70" s="132"/>
      <c r="H70" s="149"/>
      <c r="J70" s="166"/>
      <c r="K70" s="167"/>
      <c r="L70" s="168"/>
      <c r="M70" s="167"/>
      <c r="N70" s="171" t="s">
        <v>532</v>
      </c>
      <c r="O70" s="177"/>
      <c r="P70" s="100">
        <f>AA131</f>
        <v>1.63</v>
      </c>
      <c r="Q70" s="119"/>
      <c r="R70" s="119"/>
      <c r="S70" s="119"/>
      <c r="T70" s="119"/>
      <c r="U70" s="119"/>
      <c r="V70" s="180"/>
      <c r="W70" s="119"/>
      <c r="X70" s="119"/>
      <c r="Y70" s="119"/>
      <c r="Z70" s="119"/>
      <c r="AA70" s="324" t="s">
        <v>647</v>
      </c>
      <c r="AB70" s="325">
        <f>'Définition SHADOW SOLAR EVO'!M59</f>
        <v>800</v>
      </c>
      <c r="AC70" s="119" t="str">
        <f>IF(AB70&lt;AG82,Traduction!A76,Traduction!A77)</f>
        <v>Charges OK</v>
      </c>
      <c r="AD70" s="2"/>
      <c r="AE70" s="513"/>
      <c r="AF70" s="516"/>
      <c r="AG70" s="119"/>
      <c r="AH70" s="119"/>
      <c r="AI70" s="119"/>
      <c r="AJ70" s="119"/>
      <c r="AK70" s="119"/>
    </row>
    <row r="71" spans="1:37" ht="15.75">
      <c r="A71" s="170"/>
      <c r="B71" s="148"/>
      <c r="C71" s="122"/>
      <c r="D71" s="132">
        <f t="shared" si="25"/>
        <v>24</v>
      </c>
      <c r="E71" s="132"/>
      <c r="H71" s="149"/>
      <c r="J71" s="166"/>
      <c r="K71" s="167"/>
      <c r="L71" s="168"/>
      <c r="M71" s="167"/>
      <c r="N71" s="146" t="s">
        <v>533</v>
      </c>
      <c r="O71" s="160"/>
      <c r="P71" s="179">
        <f>P67*P70</f>
        <v>482.47999999999996</v>
      </c>
      <c r="Q71" s="142" t="s">
        <v>485</v>
      </c>
      <c r="R71" s="119"/>
      <c r="S71" s="119"/>
      <c r="T71" s="119"/>
      <c r="U71" s="119"/>
      <c r="V71" s="181"/>
      <c r="W71" s="119"/>
      <c r="X71" s="119"/>
      <c r="Y71" s="119"/>
      <c r="Z71" s="119"/>
      <c r="AA71" s="324" t="s">
        <v>649</v>
      </c>
      <c r="AB71" s="325" t="str">
        <f>'Définition SHADOW SOLAR EVO'!M57</f>
        <v>2x2 2 Pieds</v>
      </c>
      <c r="AC71" s="119"/>
      <c r="AD71" s="2"/>
      <c r="AE71" s="514"/>
      <c r="AF71" s="517"/>
      <c r="AG71" s="119"/>
      <c r="AH71" s="119"/>
      <c r="AI71" s="119"/>
      <c r="AJ71" s="119"/>
      <c r="AK71" s="119"/>
    </row>
    <row r="72" spans="1:37">
      <c r="A72" s="170"/>
      <c r="B72" s="148"/>
      <c r="C72" s="122"/>
      <c r="D72" s="132">
        <f t="shared" si="25"/>
        <v>25</v>
      </c>
      <c r="E72" s="132"/>
      <c r="H72" s="149"/>
      <c r="J72" s="174" t="str">
        <f>'Définition SHADOW SOLAR EVO'!M51</f>
        <v>A2</v>
      </c>
      <c r="K72" s="167"/>
      <c r="L72" s="168"/>
      <c r="M72" s="167"/>
      <c r="N72" s="119"/>
      <c r="O72" s="119"/>
      <c r="P72" s="119"/>
      <c r="Q72" s="119"/>
      <c r="R72" s="119"/>
      <c r="S72" s="119"/>
      <c r="T72" s="119"/>
      <c r="U72" s="119"/>
      <c r="V72" s="182"/>
      <c r="W72" s="119"/>
      <c r="X72" s="119"/>
      <c r="Y72" s="119"/>
      <c r="Z72" s="119"/>
      <c r="AA72" s="119"/>
      <c r="AB72" s="119"/>
      <c r="AC72" s="119"/>
      <c r="AD72" s="319" t="s">
        <v>680</v>
      </c>
      <c r="AE72" s="323">
        <v>2000</v>
      </c>
      <c r="AF72" s="326">
        <v>2000</v>
      </c>
      <c r="AG72" s="100">
        <f>IF(AD72=$AB$71,AE72,0)</f>
        <v>2000</v>
      </c>
      <c r="AH72" s="100">
        <f>IF(AD72=$AB$71,AF72,0)</f>
        <v>2000</v>
      </c>
      <c r="AI72" s="119">
        <f>IF($AB$71=$AD72,1,0)</f>
        <v>1</v>
      </c>
      <c r="AJ72" s="119"/>
      <c r="AK72" s="119"/>
    </row>
    <row r="73" spans="1:37">
      <c r="A73" s="170"/>
      <c r="B73" s="148"/>
      <c r="C73" s="122"/>
      <c r="D73" s="132">
        <f t="shared" si="25"/>
        <v>26</v>
      </c>
      <c r="E73" s="132"/>
      <c r="H73" s="149"/>
      <c r="J73" s="132"/>
      <c r="K73" s="119"/>
      <c r="L73" s="149"/>
      <c r="M73" s="119"/>
      <c r="N73" s="119"/>
      <c r="O73" s="119"/>
      <c r="P73" s="119"/>
      <c r="Q73" s="119"/>
      <c r="R73" s="119"/>
      <c r="S73" s="119"/>
      <c r="T73" s="119"/>
      <c r="U73" s="119"/>
      <c r="V73" s="182"/>
      <c r="W73" s="119"/>
      <c r="X73" s="119"/>
      <c r="Y73" s="119"/>
      <c r="Z73" s="119"/>
      <c r="AA73" s="119"/>
      <c r="AB73" s="119"/>
      <c r="AC73" s="119"/>
      <c r="AD73" s="319" t="s">
        <v>681</v>
      </c>
      <c r="AE73" s="323">
        <v>2200</v>
      </c>
      <c r="AF73" s="326">
        <v>2200</v>
      </c>
      <c r="AG73" s="100">
        <f t="shared" ref="AG73:AG81" si="26">IF(AD73=$AB$71,AE73,0)</f>
        <v>0</v>
      </c>
      <c r="AH73" s="100">
        <f t="shared" ref="AH73:AH81" si="27">IF(AD73=$AB$71,AF73,0)</f>
        <v>0</v>
      </c>
      <c r="AI73" s="119"/>
      <c r="AJ73" s="119"/>
      <c r="AK73" s="119"/>
    </row>
    <row r="74" spans="1:37">
      <c r="A74" s="170"/>
      <c r="B74" s="148"/>
      <c r="C74" s="122"/>
      <c r="D74" s="132">
        <f t="shared" si="25"/>
        <v>27</v>
      </c>
      <c r="E74" s="132"/>
      <c r="H74" s="149"/>
      <c r="J74" s="132"/>
      <c r="K74" s="119"/>
      <c r="L74" s="149"/>
      <c r="M74" s="119"/>
      <c r="N74" s="119"/>
      <c r="O74" s="119"/>
      <c r="P74" s="119"/>
      <c r="Q74" s="119"/>
      <c r="R74" s="119"/>
      <c r="S74" s="119"/>
      <c r="T74" s="119"/>
      <c r="U74" s="119"/>
      <c r="V74" s="182"/>
      <c r="W74" s="119"/>
      <c r="X74" s="119"/>
      <c r="Y74" s="119"/>
      <c r="Z74" s="119"/>
      <c r="AA74" s="119"/>
      <c r="AB74" s="119"/>
      <c r="AC74" s="119"/>
      <c r="AD74" s="319" t="s">
        <v>683</v>
      </c>
      <c r="AE74" s="323">
        <v>0</v>
      </c>
      <c r="AF74" s="326">
        <v>0</v>
      </c>
      <c r="AG74" s="100">
        <f t="shared" si="26"/>
        <v>0</v>
      </c>
      <c r="AH74" s="100">
        <f t="shared" si="27"/>
        <v>0</v>
      </c>
      <c r="AI74" s="119">
        <f t="shared" ref="AI74:AI80" si="28">IF($AB$71=$AD74,1,0)</f>
        <v>0</v>
      </c>
      <c r="AJ74" s="119"/>
      <c r="AK74" s="119"/>
    </row>
    <row r="75" spans="1:37">
      <c r="A75" s="170"/>
      <c r="B75" s="148"/>
      <c r="C75" s="122"/>
      <c r="D75" s="132">
        <f t="shared" si="25"/>
        <v>28</v>
      </c>
      <c r="E75" s="132"/>
      <c r="H75" s="149"/>
      <c r="J75" s="132"/>
      <c r="K75" s="119"/>
      <c r="L75" s="149"/>
      <c r="M75" s="119"/>
      <c r="N75" s="182"/>
      <c r="O75" s="182"/>
      <c r="P75" s="182"/>
      <c r="Q75" s="182"/>
      <c r="R75" s="182"/>
      <c r="S75" s="182"/>
      <c r="T75" s="182"/>
      <c r="U75" s="182"/>
      <c r="V75" s="182"/>
      <c r="W75" s="119"/>
      <c r="X75" s="119"/>
      <c r="Y75" s="119"/>
      <c r="Z75" s="119"/>
      <c r="AA75" s="119"/>
      <c r="AB75" s="119"/>
      <c r="AC75" s="119"/>
      <c r="AD75" s="319" t="s">
        <v>682</v>
      </c>
      <c r="AE75" s="323">
        <v>0</v>
      </c>
      <c r="AF75" s="326">
        <v>0</v>
      </c>
      <c r="AG75" s="100">
        <f t="shared" si="26"/>
        <v>0</v>
      </c>
      <c r="AH75" s="100">
        <f t="shared" si="27"/>
        <v>0</v>
      </c>
      <c r="AI75" s="119"/>
      <c r="AJ75" s="119"/>
      <c r="AK75" s="119"/>
    </row>
    <row r="76" spans="1:37">
      <c r="A76" s="170"/>
      <c r="B76" s="148"/>
      <c r="C76" s="122"/>
      <c r="D76" s="132">
        <f t="shared" si="25"/>
        <v>29</v>
      </c>
      <c r="E76" s="132"/>
      <c r="H76" s="149"/>
      <c r="J76" s="132"/>
      <c r="K76" s="119"/>
      <c r="L76" s="149"/>
      <c r="M76" s="119"/>
      <c r="N76" s="182"/>
      <c r="O76" s="182"/>
      <c r="P76" s="182"/>
      <c r="Q76" s="182"/>
      <c r="R76" s="182"/>
      <c r="S76" s="182"/>
      <c r="T76" s="182"/>
      <c r="U76" s="182"/>
      <c r="V76" s="119"/>
      <c r="W76" s="119"/>
      <c r="X76" s="119"/>
      <c r="Y76" s="119"/>
      <c r="Z76" s="119"/>
      <c r="AA76" s="119"/>
      <c r="AB76" s="119"/>
      <c r="AC76" s="119"/>
      <c r="AD76" s="319" t="s">
        <v>684</v>
      </c>
      <c r="AE76" s="323">
        <v>1300</v>
      </c>
      <c r="AF76" s="326">
        <v>1300</v>
      </c>
      <c r="AG76" s="100">
        <f t="shared" si="26"/>
        <v>0</v>
      </c>
      <c r="AH76" s="100">
        <f t="shared" si="27"/>
        <v>0</v>
      </c>
      <c r="AI76" s="119">
        <f t="shared" si="28"/>
        <v>0</v>
      </c>
      <c r="AJ76" s="119"/>
      <c r="AK76" s="119"/>
    </row>
    <row r="77" spans="1:37">
      <c r="A77" s="170"/>
      <c r="B77" s="148"/>
      <c r="C77" s="122"/>
      <c r="D77" s="132">
        <f t="shared" si="25"/>
        <v>30</v>
      </c>
      <c r="E77" s="132"/>
      <c r="H77" s="183"/>
      <c r="J77" s="184"/>
      <c r="K77" s="182"/>
      <c r="L77" s="183"/>
      <c r="M77" s="182"/>
      <c r="N77" s="182"/>
      <c r="O77" s="182"/>
      <c r="P77" s="182"/>
      <c r="Q77" s="182"/>
      <c r="R77" s="182"/>
      <c r="S77" s="182"/>
      <c r="T77" s="182"/>
      <c r="U77" s="182"/>
      <c r="V77" s="119"/>
      <c r="W77" s="119"/>
      <c r="X77" s="119"/>
      <c r="Y77" s="119"/>
      <c r="Z77" s="119"/>
      <c r="AA77" s="119"/>
      <c r="AB77" s="119"/>
      <c r="AC77" s="119"/>
      <c r="AD77" s="319" t="s">
        <v>685</v>
      </c>
      <c r="AE77" s="323">
        <v>1400</v>
      </c>
      <c r="AF77" s="326">
        <v>1400</v>
      </c>
      <c r="AG77" s="100">
        <f t="shared" si="26"/>
        <v>0</v>
      </c>
      <c r="AH77" s="100">
        <f t="shared" si="27"/>
        <v>0</v>
      </c>
      <c r="AI77" s="119"/>
      <c r="AJ77" s="119"/>
      <c r="AK77" s="119"/>
    </row>
    <row r="78" spans="1:37">
      <c r="A78" s="170"/>
      <c r="B78" s="148"/>
      <c r="C78" s="122"/>
      <c r="D78" s="132">
        <f t="shared" si="25"/>
        <v>31</v>
      </c>
      <c r="E78" s="132"/>
      <c r="H78" s="183"/>
      <c r="J78" s="184"/>
      <c r="K78" s="182"/>
      <c r="L78" s="183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319" t="s">
        <v>687</v>
      </c>
      <c r="AE78" s="323">
        <v>1360</v>
      </c>
      <c r="AF78" s="326">
        <v>1360</v>
      </c>
      <c r="AG78" s="100">
        <f t="shared" si="26"/>
        <v>0</v>
      </c>
      <c r="AH78" s="100">
        <f t="shared" si="27"/>
        <v>0</v>
      </c>
      <c r="AI78" s="119">
        <f t="shared" si="28"/>
        <v>0</v>
      </c>
      <c r="AJ78" s="119"/>
      <c r="AK78" s="119"/>
    </row>
    <row r="79" spans="1:37">
      <c r="A79" s="170"/>
      <c r="B79" s="148"/>
      <c r="C79" s="122"/>
      <c r="D79" s="132">
        <f t="shared" si="25"/>
        <v>32</v>
      </c>
      <c r="E79" s="132"/>
      <c r="H79" s="185"/>
      <c r="J79" s="186"/>
      <c r="K79" s="181"/>
      <c r="L79" s="185"/>
      <c r="M79" s="181"/>
      <c r="N79" s="187" t="s">
        <v>540</v>
      </c>
      <c r="O79" s="188"/>
      <c r="P79" s="189"/>
      <c r="Q79" s="574" t="s">
        <v>541</v>
      </c>
      <c r="R79" s="575"/>
      <c r="S79" s="575"/>
      <c r="T79" s="575"/>
      <c r="U79" s="576"/>
      <c r="V79" s="181"/>
      <c r="W79" s="181"/>
      <c r="X79" s="181"/>
      <c r="Y79" s="181"/>
      <c r="Z79" s="181"/>
      <c r="AA79" s="181"/>
      <c r="AB79" s="181"/>
      <c r="AC79" s="181"/>
      <c r="AD79" s="319" t="s">
        <v>686</v>
      </c>
      <c r="AE79" s="323">
        <v>1800</v>
      </c>
      <c r="AF79" s="326">
        <v>1800</v>
      </c>
      <c r="AG79" s="100">
        <f t="shared" si="26"/>
        <v>0</v>
      </c>
      <c r="AH79" s="100">
        <f t="shared" si="27"/>
        <v>0</v>
      </c>
      <c r="AI79" s="119"/>
      <c r="AJ79" s="119"/>
      <c r="AK79" s="119"/>
    </row>
    <row r="80" spans="1:37" ht="18">
      <c r="A80" s="170"/>
      <c r="B80" s="148"/>
      <c r="C80" s="122"/>
      <c r="D80" s="132">
        <f t="shared" si="25"/>
        <v>33</v>
      </c>
      <c r="E80" s="132"/>
      <c r="H80" s="190"/>
      <c r="J80" s="191"/>
      <c r="K80" s="192"/>
      <c r="L80" s="190"/>
      <c r="M80" s="192"/>
      <c r="N80" s="193"/>
      <c r="O80" s="194"/>
      <c r="P80" s="195"/>
      <c r="Q80" s="196">
        <v>0</v>
      </c>
      <c r="R80" s="196" t="s">
        <v>489</v>
      </c>
      <c r="S80" s="196" t="s">
        <v>491</v>
      </c>
      <c r="T80" s="196" t="s">
        <v>433</v>
      </c>
      <c r="U80" s="196" t="s">
        <v>497</v>
      </c>
      <c r="V80" s="577" t="s">
        <v>542</v>
      </c>
      <c r="W80" s="578"/>
      <c r="X80" s="578"/>
      <c r="Y80" s="578"/>
      <c r="Z80" s="578"/>
      <c r="AA80" s="192"/>
      <c r="AB80" s="192"/>
      <c r="AC80" s="192"/>
      <c r="AD80" s="319" t="s">
        <v>688</v>
      </c>
      <c r="AE80" s="323">
        <v>1100</v>
      </c>
      <c r="AF80" s="326">
        <v>1100</v>
      </c>
      <c r="AG80" s="100">
        <f t="shared" si="26"/>
        <v>0</v>
      </c>
      <c r="AH80" s="100">
        <f t="shared" si="27"/>
        <v>0</v>
      </c>
      <c r="AI80" s="119">
        <f t="shared" si="28"/>
        <v>0</v>
      </c>
      <c r="AJ80" s="119"/>
      <c r="AK80" s="119"/>
    </row>
    <row r="81" spans="1:37">
      <c r="A81" s="170"/>
      <c r="B81" s="148"/>
      <c r="C81" s="122"/>
      <c r="D81" s="132">
        <f t="shared" si="25"/>
        <v>34</v>
      </c>
      <c r="E81" s="132"/>
      <c r="H81" s="185"/>
      <c r="J81" s="186"/>
      <c r="K81" s="181"/>
      <c r="L81" s="185"/>
      <c r="M81" s="181"/>
      <c r="N81" s="579" t="s">
        <v>543</v>
      </c>
      <c r="O81" s="197"/>
      <c r="P81" s="198">
        <v>1</v>
      </c>
      <c r="Q81" s="199">
        <v>1.7</v>
      </c>
      <c r="R81" s="199">
        <v>1.42</v>
      </c>
      <c r="S81" s="199">
        <v>1.41</v>
      </c>
      <c r="T81" s="199">
        <v>1.35</v>
      </c>
      <c r="U81" s="199">
        <v>1.29</v>
      </c>
      <c r="V81" s="100">
        <f>IF(P81=$U$7,Q81,0)</f>
        <v>0</v>
      </c>
      <c r="W81" s="100">
        <f t="shared" ref="W81:W112" si="29">IF(P81=$U$7,R81,0)</f>
        <v>0</v>
      </c>
      <c r="X81" s="100">
        <f t="shared" ref="X81:X112" si="30">IF(P81=$U$7,S81,0)</f>
        <v>0</v>
      </c>
      <c r="Y81" s="100">
        <f t="shared" ref="Y81:Y112" si="31">IF(P81=$U$7,T81,0)</f>
        <v>0</v>
      </c>
      <c r="Z81" s="100">
        <f t="shared" ref="Z81:Z112" si="32">IF(P81=$U$7,U81,0)</f>
        <v>0</v>
      </c>
      <c r="AA81" s="181"/>
      <c r="AB81" s="181"/>
      <c r="AC81" s="181"/>
      <c r="AD81" s="319" t="s">
        <v>689</v>
      </c>
      <c r="AE81" s="323">
        <v>1360</v>
      </c>
      <c r="AF81" s="326">
        <v>1360</v>
      </c>
      <c r="AG81" s="100">
        <f t="shared" si="26"/>
        <v>0</v>
      </c>
      <c r="AH81" s="100">
        <f t="shared" si="27"/>
        <v>0</v>
      </c>
      <c r="AI81" s="119"/>
      <c r="AJ81" s="119"/>
      <c r="AK81" s="119"/>
    </row>
    <row r="82" spans="1:37">
      <c r="A82" s="170"/>
      <c r="B82" s="148"/>
      <c r="C82" s="122"/>
      <c r="D82" s="132">
        <f t="shared" si="25"/>
        <v>35</v>
      </c>
      <c r="E82" s="132"/>
      <c r="H82" s="183"/>
      <c r="J82" s="184"/>
      <c r="K82" s="182"/>
      <c r="L82" s="183"/>
      <c r="M82" s="182"/>
      <c r="N82" s="580"/>
      <c r="O82" s="200"/>
      <c r="P82" s="201">
        <v>2</v>
      </c>
      <c r="Q82" s="202">
        <v>2.04</v>
      </c>
      <c r="R82" s="202">
        <v>1.42</v>
      </c>
      <c r="S82" s="199">
        <v>1.41</v>
      </c>
      <c r="T82" s="199">
        <v>1.35</v>
      </c>
      <c r="U82" s="199">
        <v>1.29</v>
      </c>
      <c r="V82" s="100">
        <f t="shared" ref="V82:V112" si="33">IF(P82=$U$7,Q82,0)</f>
        <v>0</v>
      </c>
      <c r="W82" s="100">
        <f t="shared" si="29"/>
        <v>0</v>
      </c>
      <c r="X82" s="100">
        <f t="shared" si="30"/>
        <v>0</v>
      </c>
      <c r="Y82" s="100">
        <f t="shared" si="31"/>
        <v>0</v>
      </c>
      <c r="Z82" s="100">
        <f t="shared" si="32"/>
        <v>0</v>
      </c>
      <c r="AA82" s="182"/>
      <c r="AB82" s="182"/>
      <c r="AC82" s="182"/>
      <c r="AD82" s="119"/>
      <c r="AE82" s="119"/>
      <c r="AF82" s="119"/>
      <c r="AG82" s="100">
        <f>SUM(AG72:AG81)</f>
        <v>2000</v>
      </c>
      <c r="AH82" s="100">
        <f>SUM(AH72:AH81)</f>
        <v>2000</v>
      </c>
      <c r="AI82" s="100">
        <f>SUM(AI72:AI81)</f>
        <v>1</v>
      </c>
      <c r="AJ82" s="119"/>
      <c r="AK82" s="119"/>
    </row>
    <row r="83" spans="1:37" ht="16.5">
      <c r="A83" s="170"/>
      <c r="B83" s="148"/>
      <c r="C83" s="122"/>
      <c r="D83" s="132">
        <f t="shared" si="25"/>
        <v>36</v>
      </c>
      <c r="E83" s="132"/>
      <c r="H83" s="203"/>
      <c r="J83" s="204"/>
      <c r="K83" s="180"/>
      <c r="L83" s="203"/>
      <c r="M83" s="180"/>
      <c r="N83" s="580"/>
      <c r="O83" s="200"/>
      <c r="P83" s="201">
        <v>3</v>
      </c>
      <c r="Q83" s="202">
        <v>2.2400000000000002</v>
      </c>
      <c r="R83" s="202">
        <v>1.63</v>
      </c>
      <c r="S83" s="199">
        <v>1.41</v>
      </c>
      <c r="T83" s="199">
        <v>1.35</v>
      </c>
      <c r="U83" s="199">
        <v>1.29</v>
      </c>
      <c r="V83" s="100">
        <f t="shared" si="33"/>
        <v>2.2400000000000002</v>
      </c>
      <c r="W83" s="100">
        <f t="shared" si="29"/>
        <v>1.63</v>
      </c>
      <c r="X83" s="100">
        <f t="shared" si="30"/>
        <v>1.41</v>
      </c>
      <c r="Y83" s="100">
        <f t="shared" si="31"/>
        <v>1.35</v>
      </c>
      <c r="Z83" s="100">
        <f t="shared" si="32"/>
        <v>1.29</v>
      </c>
      <c r="AA83" s="180"/>
      <c r="AB83" s="180"/>
      <c r="AC83" s="180"/>
      <c r="AD83" s="119"/>
      <c r="AE83" s="119"/>
      <c r="AF83" s="119"/>
      <c r="AG83" s="119"/>
      <c r="AH83" s="119"/>
      <c r="AI83" s="119"/>
      <c r="AJ83" s="119"/>
      <c r="AK83" s="119"/>
    </row>
    <row r="84" spans="1:37" ht="16.5">
      <c r="A84" s="170"/>
      <c r="B84" s="148"/>
      <c r="C84" s="122"/>
      <c r="D84" s="132">
        <f t="shared" si="25"/>
        <v>37</v>
      </c>
      <c r="E84" s="132"/>
      <c r="H84" s="203"/>
      <c r="J84" s="204"/>
      <c r="K84" s="180"/>
      <c r="L84" s="203"/>
      <c r="M84" s="180"/>
      <c r="N84" s="580"/>
      <c r="O84" s="200"/>
      <c r="P84" s="201">
        <v>4</v>
      </c>
      <c r="Q84" s="202">
        <v>2.39</v>
      </c>
      <c r="R84" s="202">
        <v>1.9</v>
      </c>
      <c r="S84" s="199">
        <v>1.41</v>
      </c>
      <c r="T84" s="199">
        <v>1.35</v>
      </c>
      <c r="U84" s="199">
        <v>1.29</v>
      </c>
      <c r="V84" s="100">
        <f t="shared" si="33"/>
        <v>0</v>
      </c>
      <c r="W84" s="100">
        <f t="shared" si="29"/>
        <v>0</v>
      </c>
      <c r="X84" s="100">
        <f t="shared" si="30"/>
        <v>0</v>
      </c>
      <c r="Y84" s="100">
        <f t="shared" si="31"/>
        <v>0</v>
      </c>
      <c r="Z84" s="100">
        <f t="shared" si="32"/>
        <v>0</v>
      </c>
      <c r="AA84" s="180"/>
      <c r="AB84" s="180"/>
      <c r="AC84" s="180"/>
      <c r="AD84" s="119"/>
      <c r="AE84" s="119"/>
      <c r="AF84" s="119"/>
      <c r="AG84" s="119"/>
      <c r="AH84" s="119"/>
      <c r="AI84" s="119"/>
      <c r="AJ84" s="119"/>
      <c r="AK84" s="119"/>
    </row>
    <row r="85" spans="1:37" ht="16.5">
      <c r="A85" s="170"/>
      <c r="B85" s="148"/>
      <c r="C85" s="122"/>
      <c r="D85" s="132">
        <f t="shared" si="25"/>
        <v>38</v>
      </c>
      <c r="E85" s="132"/>
      <c r="H85" s="203"/>
      <c r="J85" s="204"/>
      <c r="K85" s="180"/>
      <c r="L85" s="203"/>
      <c r="M85" s="180"/>
      <c r="N85" s="580"/>
      <c r="O85" s="200"/>
      <c r="P85" s="201">
        <v>5</v>
      </c>
      <c r="Q85" s="202">
        <v>2.5099999999999998</v>
      </c>
      <c r="R85" s="202">
        <v>1.92</v>
      </c>
      <c r="S85" s="199">
        <v>1.41</v>
      </c>
      <c r="T85" s="199">
        <v>1.35</v>
      </c>
      <c r="U85" s="199">
        <v>1.29</v>
      </c>
      <c r="V85" s="100">
        <f t="shared" si="33"/>
        <v>0</v>
      </c>
      <c r="W85" s="100">
        <f t="shared" si="29"/>
        <v>0</v>
      </c>
      <c r="X85" s="100">
        <f t="shared" si="30"/>
        <v>0</v>
      </c>
      <c r="Y85" s="100">
        <f t="shared" si="31"/>
        <v>0</v>
      </c>
      <c r="Z85" s="100">
        <f t="shared" si="32"/>
        <v>0</v>
      </c>
      <c r="AA85" s="180"/>
      <c r="AB85" s="180"/>
      <c r="AC85" s="180"/>
      <c r="AD85" s="119"/>
      <c r="AE85" s="119"/>
      <c r="AF85" s="119"/>
      <c r="AG85" s="119"/>
      <c r="AH85" s="119"/>
      <c r="AI85" s="119"/>
      <c r="AJ85" s="119"/>
      <c r="AK85" s="119"/>
    </row>
    <row r="86" spans="1:37" ht="16.5">
      <c r="A86" s="170"/>
      <c r="B86" s="148"/>
      <c r="C86" s="122"/>
      <c r="D86" s="132">
        <f t="shared" si="25"/>
        <v>39</v>
      </c>
      <c r="E86" s="132"/>
      <c r="H86" s="203"/>
      <c r="J86" s="204"/>
      <c r="K86" s="180"/>
      <c r="L86" s="203"/>
      <c r="M86" s="180"/>
      <c r="N86" s="580"/>
      <c r="O86" s="200"/>
      <c r="P86" s="201">
        <v>6</v>
      </c>
      <c r="Q86" s="202">
        <v>2.61</v>
      </c>
      <c r="R86" s="202">
        <v>2.0299999999999998</v>
      </c>
      <c r="S86" s="202">
        <v>1.52</v>
      </c>
      <c r="T86" s="199">
        <v>1.35</v>
      </c>
      <c r="U86" s="199">
        <v>1.29</v>
      </c>
      <c r="V86" s="100">
        <f t="shared" si="33"/>
        <v>0</v>
      </c>
      <c r="W86" s="100">
        <f t="shared" si="29"/>
        <v>0</v>
      </c>
      <c r="X86" s="100">
        <f t="shared" si="30"/>
        <v>0</v>
      </c>
      <c r="Y86" s="100">
        <f t="shared" si="31"/>
        <v>0</v>
      </c>
      <c r="Z86" s="100">
        <f t="shared" si="32"/>
        <v>0</v>
      </c>
      <c r="AA86" s="180"/>
      <c r="AB86" s="180"/>
      <c r="AC86" s="180"/>
      <c r="AD86" s="119"/>
      <c r="AE86" s="119"/>
      <c r="AF86" s="119"/>
      <c r="AG86" s="119"/>
      <c r="AH86" s="119"/>
      <c r="AI86" s="119"/>
      <c r="AJ86" s="119"/>
      <c r="AK86" s="119"/>
    </row>
    <row r="87" spans="1:37">
      <c r="A87" s="170"/>
      <c r="B87" s="148"/>
      <c r="C87" s="122"/>
      <c r="D87" s="132">
        <f t="shared" si="25"/>
        <v>40</v>
      </c>
      <c r="E87" s="132"/>
      <c r="H87" s="185"/>
      <c r="J87" s="186"/>
      <c r="K87" s="181"/>
      <c r="L87" s="185"/>
      <c r="M87" s="181"/>
      <c r="N87" s="580"/>
      <c r="O87" s="200"/>
      <c r="P87" s="201">
        <v>7</v>
      </c>
      <c r="Q87" s="199">
        <v>2.7</v>
      </c>
      <c r="R87" s="199">
        <v>2.12</v>
      </c>
      <c r="S87" s="199">
        <v>1.61</v>
      </c>
      <c r="T87" s="199">
        <v>1.35</v>
      </c>
      <c r="U87" s="199">
        <v>1.29</v>
      </c>
      <c r="V87" s="100">
        <f t="shared" si="33"/>
        <v>0</v>
      </c>
      <c r="W87" s="100">
        <f t="shared" si="29"/>
        <v>0</v>
      </c>
      <c r="X87" s="100">
        <f t="shared" si="30"/>
        <v>0</v>
      </c>
      <c r="Y87" s="100">
        <f t="shared" si="31"/>
        <v>0</v>
      </c>
      <c r="Z87" s="100">
        <f t="shared" si="32"/>
        <v>0</v>
      </c>
      <c r="AA87" s="181"/>
      <c r="AB87" s="181"/>
      <c r="AC87" s="181"/>
      <c r="AD87" s="119"/>
      <c r="AE87" s="119"/>
      <c r="AF87" s="119"/>
      <c r="AG87" s="119"/>
      <c r="AH87" s="119"/>
      <c r="AI87" s="119"/>
      <c r="AJ87" s="119"/>
      <c r="AK87" s="119"/>
    </row>
    <row r="88" spans="1:37" ht="16.5">
      <c r="A88" s="170"/>
      <c r="B88" s="174" t="str">
        <f>'Définition SHADOW SOLAR EVO'!M49</f>
        <v>II</v>
      </c>
      <c r="C88" s="122"/>
      <c r="D88" s="132">
        <f t="shared" si="25"/>
        <v>41</v>
      </c>
      <c r="E88" s="204"/>
      <c r="H88" s="203"/>
      <c r="J88" s="204"/>
      <c r="K88" s="180"/>
      <c r="L88" s="203"/>
      <c r="M88" s="180"/>
      <c r="N88" s="580"/>
      <c r="O88" s="200"/>
      <c r="P88" s="201">
        <v>8</v>
      </c>
      <c r="Q88" s="202">
        <v>2.77</v>
      </c>
      <c r="R88" s="202">
        <v>2.21</v>
      </c>
      <c r="S88" s="202">
        <v>1.69</v>
      </c>
      <c r="T88" s="199">
        <v>1.35</v>
      </c>
      <c r="U88" s="199">
        <v>1.29</v>
      </c>
      <c r="V88" s="100">
        <f t="shared" si="33"/>
        <v>0</v>
      </c>
      <c r="W88" s="100">
        <f t="shared" si="29"/>
        <v>0</v>
      </c>
      <c r="X88" s="100">
        <f t="shared" si="30"/>
        <v>0</v>
      </c>
      <c r="Y88" s="100">
        <f t="shared" si="31"/>
        <v>0</v>
      </c>
      <c r="Z88" s="100">
        <f t="shared" si="32"/>
        <v>0</v>
      </c>
      <c r="AA88" s="180"/>
      <c r="AB88" s="180"/>
      <c r="AC88" s="180"/>
      <c r="AD88" s="119"/>
      <c r="AE88" s="119"/>
      <c r="AF88" s="119"/>
      <c r="AG88" s="119"/>
      <c r="AH88" s="119"/>
      <c r="AI88" s="119"/>
      <c r="AJ88" s="119"/>
      <c r="AK88" s="119"/>
    </row>
    <row r="89" spans="1:37">
      <c r="A89" s="170"/>
      <c r="B89" s="148"/>
      <c r="C89" s="122"/>
      <c r="D89" s="132">
        <f t="shared" si="25"/>
        <v>42</v>
      </c>
      <c r="E89" s="132"/>
      <c r="H89" s="149"/>
      <c r="J89" s="132"/>
      <c r="K89" s="119"/>
      <c r="L89" s="149"/>
      <c r="M89" s="119"/>
      <c r="N89" s="580"/>
      <c r="O89" s="200"/>
      <c r="P89" s="201">
        <v>9</v>
      </c>
      <c r="Q89" s="205">
        <v>2.84</v>
      </c>
      <c r="R89" s="205">
        <v>2.2799999999999998</v>
      </c>
      <c r="S89" s="205">
        <v>1.77</v>
      </c>
      <c r="T89" s="199">
        <v>1.35</v>
      </c>
      <c r="U89" s="199">
        <v>1.29</v>
      </c>
      <c r="V89" s="100">
        <f t="shared" si="33"/>
        <v>0</v>
      </c>
      <c r="W89" s="100">
        <f t="shared" si="29"/>
        <v>0</v>
      </c>
      <c r="X89" s="100">
        <f t="shared" si="30"/>
        <v>0</v>
      </c>
      <c r="Y89" s="100">
        <f t="shared" si="31"/>
        <v>0</v>
      </c>
      <c r="Z89" s="100">
        <f t="shared" si="32"/>
        <v>0</v>
      </c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</row>
    <row r="90" spans="1:37">
      <c r="A90" s="170"/>
      <c r="B90" s="148"/>
      <c r="C90" s="122"/>
      <c r="D90" s="132">
        <f t="shared" si="25"/>
        <v>43</v>
      </c>
      <c r="E90" s="132"/>
      <c r="H90" s="149"/>
      <c r="J90" s="132"/>
      <c r="K90" s="119"/>
      <c r="L90" s="149"/>
      <c r="M90" s="119"/>
      <c r="N90" s="580"/>
      <c r="O90" s="200"/>
      <c r="P90" s="201">
        <v>10</v>
      </c>
      <c r="Q90" s="205">
        <v>2.9</v>
      </c>
      <c r="R90" s="205">
        <v>2.35</v>
      </c>
      <c r="S90" s="205">
        <v>1.84</v>
      </c>
      <c r="T90" s="199">
        <v>1.41</v>
      </c>
      <c r="U90" s="199">
        <v>1.29</v>
      </c>
      <c r="V90" s="100">
        <f t="shared" si="33"/>
        <v>0</v>
      </c>
      <c r="W90" s="100">
        <f t="shared" si="29"/>
        <v>0</v>
      </c>
      <c r="X90" s="100">
        <f t="shared" si="30"/>
        <v>0</v>
      </c>
      <c r="Y90" s="100">
        <f t="shared" si="31"/>
        <v>0</v>
      </c>
      <c r="Z90" s="100">
        <f t="shared" si="32"/>
        <v>0</v>
      </c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</row>
    <row r="91" spans="1:37">
      <c r="A91" s="170"/>
      <c r="B91" s="148"/>
      <c r="C91" s="122"/>
      <c r="D91" s="132">
        <f t="shared" si="25"/>
        <v>44</v>
      </c>
      <c r="E91" s="132"/>
      <c r="H91" s="149"/>
      <c r="J91" s="132"/>
      <c r="K91" s="119"/>
      <c r="L91" s="149"/>
      <c r="M91" s="119"/>
      <c r="N91" s="580"/>
      <c r="O91" s="200"/>
      <c r="P91" s="201">
        <v>11</v>
      </c>
      <c r="Q91" s="205">
        <v>2.96</v>
      </c>
      <c r="R91" s="205">
        <v>2.41</v>
      </c>
      <c r="S91" s="205">
        <v>1.9</v>
      </c>
      <c r="T91" s="199">
        <v>1.47</v>
      </c>
      <c r="U91" s="199">
        <v>1.29</v>
      </c>
      <c r="V91" s="100">
        <f t="shared" si="33"/>
        <v>0</v>
      </c>
      <c r="W91" s="100">
        <f t="shared" si="29"/>
        <v>0</v>
      </c>
      <c r="X91" s="100">
        <f t="shared" si="30"/>
        <v>0</v>
      </c>
      <c r="Y91" s="100">
        <f t="shared" si="31"/>
        <v>0</v>
      </c>
      <c r="Z91" s="100">
        <f t="shared" si="32"/>
        <v>0</v>
      </c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</row>
    <row r="92" spans="1:37">
      <c r="A92" s="170"/>
      <c r="B92" s="148"/>
      <c r="C92" s="122"/>
      <c r="D92" s="132">
        <f t="shared" si="25"/>
        <v>45</v>
      </c>
      <c r="E92" s="132"/>
      <c r="H92" s="149"/>
      <c r="J92" s="132"/>
      <c r="K92" s="119"/>
      <c r="L92" s="149"/>
      <c r="M92" s="119"/>
      <c r="N92" s="580"/>
      <c r="O92" s="200"/>
      <c r="P92" s="201">
        <v>12</v>
      </c>
      <c r="Q92" s="205">
        <v>3.01</v>
      </c>
      <c r="R92" s="205">
        <v>2.46</v>
      </c>
      <c r="S92" s="205">
        <v>1.95</v>
      </c>
      <c r="T92" s="199">
        <v>1.53</v>
      </c>
      <c r="U92" s="199">
        <v>1.29</v>
      </c>
      <c r="V92" s="100">
        <f t="shared" si="33"/>
        <v>0</v>
      </c>
      <c r="W92" s="100">
        <f t="shared" si="29"/>
        <v>0</v>
      </c>
      <c r="X92" s="100">
        <f t="shared" si="30"/>
        <v>0</v>
      </c>
      <c r="Y92" s="100">
        <f t="shared" si="31"/>
        <v>0</v>
      </c>
      <c r="Z92" s="100">
        <f t="shared" si="32"/>
        <v>0</v>
      </c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</row>
    <row r="93" spans="1:37">
      <c r="A93" s="170"/>
      <c r="B93" s="148"/>
      <c r="C93" s="122"/>
      <c r="D93" s="132">
        <f t="shared" si="25"/>
        <v>46</v>
      </c>
      <c r="E93" s="132"/>
      <c r="H93" s="149"/>
      <c r="J93" s="132"/>
      <c r="K93" s="119"/>
      <c r="L93" s="149"/>
      <c r="M93" s="119"/>
      <c r="N93" s="580"/>
      <c r="O93" s="200"/>
      <c r="P93" s="201">
        <v>13</v>
      </c>
      <c r="Q93" s="205">
        <v>3.06</v>
      </c>
      <c r="R93" s="205">
        <v>2.5099999999999998</v>
      </c>
      <c r="S93" s="205">
        <v>2.0099999999999998</v>
      </c>
      <c r="T93" s="199">
        <v>1.58</v>
      </c>
      <c r="U93" s="199">
        <v>1.29</v>
      </c>
      <c r="V93" s="100">
        <f t="shared" si="33"/>
        <v>0</v>
      </c>
      <c r="W93" s="100">
        <f t="shared" si="29"/>
        <v>0</v>
      </c>
      <c r="X93" s="100">
        <f t="shared" si="30"/>
        <v>0</v>
      </c>
      <c r="Y93" s="100">
        <f t="shared" si="31"/>
        <v>0</v>
      </c>
      <c r="Z93" s="100">
        <f t="shared" si="32"/>
        <v>0</v>
      </c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</row>
    <row r="94" spans="1:37">
      <c r="A94" s="170"/>
      <c r="B94" s="206"/>
      <c r="C94" s="122"/>
      <c r="D94" s="132">
        <f t="shared" si="25"/>
        <v>47</v>
      </c>
      <c r="E94" s="132"/>
      <c r="H94" s="149"/>
      <c r="J94" s="132"/>
      <c r="K94" s="119"/>
      <c r="L94" s="149"/>
      <c r="M94" s="119"/>
      <c r="N94" s="580"/>
      <c r="O94" s="200"/>
      <c r="P94" s="201">
        <v>14</v>
      </c>
      <c r="Q94" s="205">
        <v>3.1</v>
      </c>
      <c r="R94" s="205">
        <v>2.56</v>
      </c>
      <c r="S94" s="205">
        <v>2.06</v>
      </c>
      <c r="T94" s="199">
        <v>1.63</v>
      </c>
      <c r="U94" s="199">
        <v>1.29</v>
      </c>
      <c r="V94" s="100">
        <f t="shared" si="33"/>
        <v>0</v>
      </c>
      <c r="W94" s="100">
        <f t="shared" si="29"/>
        <v>0</v>
      </c>
      <c r="X94" s="100">
        <f t="shared" si="30"/>
        <v>0</v>
      </c>
      <c r="Y94" s="100">
        <f t="shared" si="31"/>
        <v>0</v>
      </c>
      <c r="Z94" s="100">
        <f t="shared" si="32"/>
        <v>0</v>
      </c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</row>
    <row r="95" spans="1:37">
      <c r="A95" s="170"/>
      <c r="B95" s="206"/>
      <c r="C95" s="122"/>
      <c r="D95" s="132">
        <f t="shared" si="25"/>
        <v>48</v>
      </c>
      <c r="E95" s="132"/>
      <c r="H95" s="149"/>
      <c r="J95" s="132"/>
      <c r="K95" s="119"/>
      <c r="L95" s="149"/>
      <c r="M95" s="119"/>
      <c r="N95" s="580"/>
      <c r="O95" s="200"/>
      <c r="P95" s="201">
        <v>15</v>
      </c>
      <c r="Q95" s="205">
        <v>3.14</v>
      </c>
      <c r="R95" s="205">
        <v>2.61</v>
      </c>
      <c r="S95" s="205">
        <v>2.1</v>
      </c>
      <c r="T95" s="199">
        <v>1.67</v>
      </c>
      <c r="U95" s="199">
        <v>1.29</v>
      </c>
      <c r="V95" s="100">
        <f t="shared" si="33"/>
        <v>0</v>
      </c>
      <c r="W95" s="100">
        <f t="shared" si="29"/>
        <v>0</v>
      </c>
      <c r="X95" s="100">
        <f t="shared" si="30"/>
        <v>0</v>
      </c>
      <c r="Y95" s="100">
        <f t="shared" si="31"/>
        <v>0</v>
      </c>
      <c r="Z95" s="100">
        <f t="shared" si="32"/>
        <v>0</v>
      </c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</row>
    <row r="96" spans="1:37">
      <c r="A96" s="170"/>
      <c r="B96" s="206"/>
      <c r="C96" s="122"/>
      <c r="D96" s="132">
        <f t="shared" si="25"/>
        <v>49</v>
      </c>
      <c r="E96" s="132"/>
      <c r="H96" s="149"/>
      <c r="J96" s="132"/>
      <c r="K96" s="119"/>
      <c r="L96" s="149"/>
      <c r="M96" s="119"/>
      <c r="N96" s="580"/>
      <c r="O96" s="200"/>
      <c r="P96" s="201">
        <v>16</v>
      </c>
      <c r="Q96" s="205">
        <v>3.18</v>
      </c>
      <c r="R96" s="205">
        <v>2.65</v>
      </c>
      <c r="S96" s="205">
        <v>2.15</v>
      </c>
      <c r="T96" s="199">
        <v>1.71</v>
      </c>
      <c r="U96" s="199">
        <v>1.33</v>
      </c>
      <c r="V96" s="100">
        <f t="shared" si="33"/>
        <v>0</v>
      </c>
      <c r="W96" s="100">
        <f t="shared" si="29"/>
        <v>0</v>
      </c>
      <c r="X96" s="100">
        <f t="shared" si="30"/>
        <v>0</v>
      </c>
      <c r="Y96" s="100">
        <f t="shared" si="31"/>
        <v>0</v>
      </c>
      <c r="Z96" s="100">
        <f t="shared" si="32"/>
        <v>0</v>
      </c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</row>
    <row r="97" spans="1:37">
      <c r="A97" s="170"/>
      <c r="B97" s="206"/>
      <c r="C97" s="122"/>
      <c r="D97" s="132">
        <f t="shared" si="25"/>
        <v>50</v>
      </c>
      <c r="E97" s="132"/>
      <c r="H97" s="149"/>
      <c r="J97" s="132"/>
      <c r="K97" s="119"/>
      <c r="L97" s="149"/>
      <c r="M97" s="119"/>
      <c r="N97" s="580"/>
      <c r="O97" s="200"/>
      <c r="P97" s="201">
        <v>17</v>
      </c>
      <c r="Q97" s="205">
        <v>3.22</v>
      </c>
      <c r="R97" s="205">
        <v>2.69</v>
      </c>
      <c r="S97" s="205">
        <v>2.19</v>
      </c>
      <c r="T97" s="199">
        <v>1.75</v>
      </c>
      <c r="U97" s="199">
        <v>1.37</v>
      </c>
      <c r="V97" s="100">
        <f t="shared" si="33"/>
        <v>0</v>
      </c>
      <c r="W97" s="100">
        <f t="shared" si="29"/>
        <v>0</v>
      </c>
      <c r="X97" s="100">
        <f t="shared" si="30"/>
        <v>0</v>
      </c>
      <c r="Y97" s="100">
        <f t="shared" si="31"/>
        <v>0</v>
      </c>
      <c r="Z97" s="100">
        <f t="shared" si="32"/>
        <v>0</v>
      </c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</row>
    <row r="98" spans="1:37">
      <c r="A98" s="170"/>
      <c r="B98" s="206"/>
      <c r="C98" s="122"/>
      <c r="D98" s="207">
        <f>7.5</f>
        <v>7.5</v>
      </c>
      <c r="E98" s="132"/>
      <c r="H98" s="149"/>
      <c r="J98" s="132"/>
      <c r="K98" s="119"/>
      <c r="L98" s="149"/>
      <c r="M98" s="119"/>
      <c r="N98" s="580"/>
      <c r="O98" s="200"/>
      <c r="P98" s="201">
        <v>18</v>
      </c>
      <c r="Q98" s="205">
        <v>3.25</v>
      </c>
      <c r="R98" s="205">
        <v>2.73</v>
      </c>
      <c r="S98" s="205">
        <v>2.23</v>
      </c>
      <c r="T98" s="199">
        <v>1.79</v>
      </c>
      <c r="U98" s="199">
        <v>1.41</v>
      </c>
      <c r="V98" s="100">
        <f t="shared" si="33"/>
        <v>0</v>
      </c>
      <c r="W98" s="100">
        <f t="shared" si="29"/>
        <v>0</v>
      </c>
      <c r="X98" s="100">
        <f t="shared" si="30"/>
        <v>0</v>
      </c>
      <c r="Y98" s="100">
        <f t="shared" si="31"/>
        <v>0</v>
      </c>
      <c r="Z98" s="100">
        <f t="shared" si="32"/>
        <v>0</v>
      </c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</row>
    <row r="99" spans="1:37">
      <c r="A99" s="170"/>
      <c r="B99" s="148"/>
      <c r="C99" s="122"/>
      <c r="D99" s="132"/>
      <c r="E99" s="132"/>
      <c r="H99" s="149"/>
      <c r="J99" s="132"/>
      <c r="K99" s="119"/>
      <c r="L99" s="149"/>
      <c r="M99" s="119"/>
      <c r="N99" s="580"/>
      <c r="O99" s="200"/>
      <c r="P99" s="201">
        <v>19</v>
      </c>
      <c r="Q99" s="205">
        <v>3.29</v>
      </c>
      <c r="R99" s="205">
        <v>2.77</v>
      </c>
      <c r="S99" s="205">
        <v>2.2599999999999998</v>
      </c>
      <c r="T99" s="199">
        <v>1.83</v>
      </c>
      <c r="U99" s="199">
        <v>1.44</v>
      </c>
      <c r="V99" s="100">
        <f t="shared" si="33"/>
        <v>0</v>
      </c>
      <c r="W99" s="100">
        <f t="shared" si="29"/>
        <v>0</v>
      </c>
      <c r="X99" s="100">
        <f t="shared" si="30"/>
        <v>0</v>
      </c>
      <c r="Y99" s="100">
        <f t="shared" si="31"/>
        <v>0</v>
      </c>
      <c r="Z99" s="100">
        <f t="shared" si="32"/>
        <v>0</v>
      </c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</row>
    <row r="100" spans="1:37">
      <c r="A100" s="170"/>
      <c r="B100" s="148"/>
      <c r="C100" s="122"/>
      <c r="D100" s="132"/>
      <c r="E100" s="132"/>
      <c r="H100" s="149"/>
      <c r="J100" s="132"/>
      <c r="K100" s="119"/>
      <c r="L100" s="149"/>
      <c r="M100" s="119"/>
      <c r="N100" s="580"/>
      <c r="O100" s="200"/>
      <c r="P100" s="201">
        <v>20</v>
      </c>
      <c r="Q100" s="205">
        <v>3.32</v>
      </c>
      <c r="R100" s="205">
        <v>2.8</v>
      </c>
      <c r="S100" s="205">
        <v>2.2999999999999998</v>
      </c>
      <c r="T100" s="199">
        <v>1.87</v>
      </c>
      <c r="U100" s="199">
        <v>1.48</v>
      </c>
      <c r="V100" s="100">
        <f t="shared" si="33"/>
        <v>0</v>
      </c>
      <c r="W100" s="100">
        <f t="shared" si="29"/>
        <v>0</v>
      </c>
      <c r="X100" s="100">
        <f t="shared" si="30"/>
        <v>0</v>
      </c>
      <c r="Y100" s="100">
        <f t="shared" si="31"/>
        <v>0</v>
      </c>
      <c r="Z100" s="100">
        <f t="shared" si="32"/>
        <v>0</v>
      </c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</row>
    <row r="101" spans="1:37">
      <c r="A101" s="170"/>
      <c r="B101" s="148"/>
      <c r="C101" s="122"/>
      <c r="D101" s="132"/>
      <c r="E101" s="132"/>
      <c r="H101" s="149"/>
      <c r="J101" s="132"/>
      <c r="K101" s="119"/>
      <c r="L101" s="149"/>
      <c r="M101" s="119"/>
      <c r="N101" s="580"/>
      <c r="O101" s="200"/>
      <c r="P101" s="201">
        <f t="shared" ref="P101:P130" si="34">P100+1</f>
        <v>21</v>
      </c>
      <c r="Q101" s="205">
        <v>3.35</v>
      </c>
      <c r="R101" s="205">
        <v>2.84</v>
      </c>
      <c r="S101" s="205">
        <v>2.33</v>
      </c>
      <c r="T101" s="199">
        <v>1.9</v>
      </c>
      <c r="U101" s="199">
        <v>1.51</v>
      </c>
      <c r="V101" s="100">
        <f t="shared" si="33"/>
        <v>0</v>
      </c>
      <c r="W101" s="100">
        <f t="shared" si="29"/>
        <v>0</v>
      </c>
      <c r="X101" s="100">
        <f t="shared" si="30"/>
        <v>0</v>
      </c>
      <c r="Y101" s="100">
        <f t="shared" si="31"/>
        <v>0</v>
      </c>
      <c r="Z101" s="100">
        <f t="shared" si="32"/>
        <v>0</v>
      </c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</row>
    <row r="102" spans="1:37">
      <c r="A102" s="170"/>
      <c r="B102" s="148"/>
      <c r="C102" s="122"/>
      <c r="D102" s="132"/>
      <c r="E102" s="132"/>
      <c r="H102" s="149"/>
      <c r="J102" s="132"/>
      <c r="K102" s="119"/>
      <c r="L102" s="149"/>
      <c r="M102" s="119"/>
      <c r="N102" s="580"/>
      <c r="O102" s="200"/>
      <c r="P102" s="201">
        <f t="shared" si="34"/>
        <v>22</v>
      </c>
      <c r="Q102" s="205">
        <v>3.38</v>
      </c>
      <c r="R102" s="205">
        <v>2.87</v>
      </c>
      <c r="S102" s="205">
        <v>2.37</v>
      </c>
      <c r="T102" s="199">
        <v>1.93</v>
      </c>
      <c r="U102" s="199">
        <v>1.54</v>
      </c>
      <c r="V102" s="100">
        <f t="shared" si="33"/>
        <v>0</v>
      </c>
      <c r="W102" s="100">
        <f t="shared" si="29"/>
        <v>0</v>
      </c>
      <c r="X102" s="100">
        <f t="shared" si="30"/>
        <v>0</v>
      </c>
      <c r="Y102" s="100">
        <f t="shared" si="31"/>
        <v>0</v>
      </c>
      <c r="Z102" s="100">
        <f t="shared" si="32"/>
        <v>0</v>
      </c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</row>
    <row r="103" spans="1:37">
      <c r="A103" s="170"/>
      <c r="B103" s="148"/>
      <c r="C103" s="122"/>
      <c r="D103" s="132"/>
      <c r="E103" s="132"/>
      <c r="H103" s="149"/>
      <c r="J103" s="132"/>
      <c r="K103" s="119"/>
      <c r="L103" s="149"/>
      <c r="M103" s="119"/>
      <c r="N103" s="580"/>
      <c r="O103" s="200"/>
      <c r="P103" s="201">
        <f t="shared" si="34"/>
        <v>23</v>
      </c>
      <c r="Q103" s="205">
        <v>3.4</v>
      </c>
      <c r="R103" s="205">
        <v>2.9</v>
      </c>
      <c r="S103" s="205">
        <v>2.4</v>
      </c>
      <c r="T103" s="199">
        <v>1.96</v>
      </c>
      <c r="U103" s="199">
        <v>1.57</v>
      </c>
      <c r="V103" s="100">
        <f t="shared" si="33"/>
        <v>0</v>
      </c>
      <c r="W103" s="100">
        <f t="shared" si="29"/>
        <v>0</v>
      </c>
      <c r="X103" s="100">
        <f t="shared" si="30"/>
        <v>0</v>
      </c>
      <c r="Y103" s="100">
        <f t="shared" si="31"/>
        <v>0</v>
      </c>
      <c r="Z103" s="100">
        <f t="shared" si="32"/>
        <v>0</v>
      </c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</row>
    <row r="104" spans="1:37">
      <c r="A104" s="170"/>
      <c r="B104" s="148"/>
      <c r="C104" s="122"/>
      <c r="D104" s="119"/>
      <c r="E104" s="132"/>
      <c r="H104" s="149"/>
      <c r="J104" s="132"/>
      <c r="K104" s="119"/>
      <c r="L104" s="149"/>
      <c r="M104" s="119"/>
      <c r="N104" s="580"/>
      <c r="O104" s="200"/>
      <c r="P104" s="201">
        <f t="shared" si="34"/>
        <v>24</v>
      </c>
      <c r="Q104" s="205">
        <v>3.43</v>
      </c>
      <c r="R104" s="205">
        <v>2.93</v>
      </c>
      <c r="S104" s="205">
        <v>2.4300000000000002</v>
      </c>
      <c r="T104" s="199">
        <v>1.99</v>
      </c>
      <c r="U104" s="199">
        <v>1.6</v>
      </c>
      <c r="V104" s="100">
        <f t="shared" si="33"/>
        <v>0</v>
      </c>
      <c r="W104" s="100">
        <f t="shared" si="29"/>
        <v>0</v>
      </c>
      <c r="X104" s="100">
        <f t="shared" si="30"/>
        <v>0</v>
      </c>
      <c r="Y104" s="100">
        <f t="shared" si="31"/>
        <v>0</v>
      </c>
      <c r="Z104" s="100">
        <f t="shared" si="32"/>
        <v>0</v>
      </c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</row>
    <row r="105" spans="1:37">
      <c r="A105" s="170"/>
      <c r="B105" s="148"/>
      <c r="C105" s="122"/>
      <c r="D105" s="119"/>
      <c r="E105" s="132"/>
      <c r="H105" s="149"/>
      <c r="J105" s="132"/>
      <c r="K105" s="119"/>
      <c r="L105" s="149"/>
      <c r="M105" s="119"/>
      <c r="N105" s="580"/>
      <c r="O105" s="200"/>
      <c r="P105" s="201">
        <f t="shared" si="34"/>
        <v>25</v>
      </c>
      <c r="Q105" s="205">
        <v>3.46</v>
      </c>
      <c r="R105" s="205">
        <v>2.96</v>
      </c>
      <c r="S105" s="205">
        <v>2.46</v>
      </c>
      <c r="T105" s="199">
        <v>2.02</v>
      </c>
      <c r="U105" s="199">
        <v>1.63</v>
      </c>
      <c r="V105" s="100">
        <f t="shared" si="33"/>
        <v>0</v>
      </c>
      <c r="W105" s="100">
        <f t="shared" si="29"/>
        <v>0</v>
      </c>
      <c r="X105" s="100">
        <f t="shared" si="30"/>
        <v>0</v>
      </c>
      <c r="Y105" s="100">
        <f t="shared" si="31"/>
        <v>0</v>
      </c>
      <c r="Z105" s="100">
        <f t="shared" si="32"/>
        <v>0</v>
      </c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</row>
    <row r="106" spans="1:37">
      <c r="A106" s="170"/>
      <c r="B106" s="148"/>
      <c r="C106" s="122"/>
      <c r="D106" s="119"/>
      <c r="E106" s="132"/>
      <c r="H106" s="149"/>
      <c r="J106" s="132"/>
      <c r="K106" s="119"/>
      <c r="L106" s="149"/>
      <c r="M106" s="119"/>
      <c r="N106" s="580"/>
      <c r="O106" s="200"/>
      <c r="P106" s="201">
        <f t="shared" si="34"/>
        <v>26</v>
      </c>
      <c r="Q106" s="205">
        <v>3.48</v>
      </c>
      <c r="R106" s="205">
        <v>2.98</v>
      </c>
      <c r="S106" s="205">
        <v>2.4900000000000002</v>
      </c>
      <c r="T106" s="199">
        <v>2.0499999999999998</v>
      </c>
      <c r="U106" s="199">
        <v>1.65</v>
      </c>
      <c r="V106" s="100">
        <f t="shared" si="33"/>
        <v>0</v>
      </c>
      <c r="W106" s="100">
        <f t="shared" si="29"/>
        <v>0</v>
      </c>
      <c r="X106" s="100">
        <f t="shared" si="30"/>
        <v>0</v>
      </c>
      <c r="Y106" s="100">
        <f t="shared" si="31"/>
        <v>0</v>
      </c>
      <c r="Z106" s="100">
        <f t="shared" si="32"/>
        <v>0</v>
      </c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</row>
    <row r="107" spans="1:37">
      <c r="A107" s="170"/>
      <c r="B107" s="148"/>
      <c r="C107" s="122"/>
      <c r="D107" s="119"/>
      <c r="E107" s="132"/>
      <c r="H107" s="149"/>
      <c r="J107" s="132"/>
      <c r="K107" s="119"/>
      <c r="L107" s="149"/>
      <c r="M107" s="119"/>
      <c r="N107" s="580"/>
      <c r="O107" s="200"/>
      <c r="P107" s="201">
        <f t="shared" si="34"/>
        <v>27</v>
      </c>
      <c r="Q107" s="205">
        <v>3.5</v>
      </c>
      <c r="R107" s="205">
        <v>3.01</v>
      </c>
      <c r="S107" s="205">
        <v>2.52</v>
      </c>
      <c r="T107" s="199">
        <v>2.08</v>
      </c>
      <c r="U107" s="199">
        <v>1.68</v>
      </c>
      <c r="V107" s="100">
        <f t="shared" si="33"/>
        <v>0</v>
      </c>
      <c r="W107" s="100">
        <f t="shared" si="29"/>
        <v>0</v>
      </c>
      <c r="X107" s="100">
        <f t="shared" si="30"/>
        <v>0</v>
      </c>
      <c r="Y107" s="100">
        <f t="shared" si="31"/>
        <v>0</v>
      </c>
      <c r="Z107" s="100">
        <f t="shared" si="32"/>
        <v>0</v>
      </c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</row>
    <row r="108" spans="1:37">
      <c r="A108" s="170"/>
      <c r="B108" s="148"/>
      <c r="C108" s="122"/>
      <c r="D108" s="119"/>
      <c r="E108" s="132"/>
      <c r="H108" s="149"/>
      <c r="J108" s="132"/>
      <c r="K108" s="119"/>
      <c r="L108" s="149"/>
      <c r="M108" s="119"/>
      <c r="N108" s="580"/>
      <c r="O108" s="200"/>
      <c r="P108" s="201">
        <f t="shared" si="34"/>
        <v>28</v>
      </c>
      <c r="Q108" s="205">
        <v>3.53</v>
      </c>
      <c r="R108" s="205">
        <v>3.04</v>
      </c>
      <c r="S108" s="205">
        <v>2.54</v>
      </c>
      <c r="T108" s="199">
        <v>2.1</v>
      </c>
      <c r="U108" s="199">
        <v>1.7</v>
      </c>
      <c r="V108" s="100">
        <f t="shared" si="33"/>
        <v>0</v>
      </c>
      <c r="W108" s="100">
        <f t="shared" si="29"/>
        <v>0</v>
      </c>
      <c r="X108" s="100">
        <f t="shared" si="30"/>
        <v>0</v>
      </c>
      <c r="Y108" s="100">
        <f t="shared" si="31"/>
        <v>0</v>
      </c>
      <c r="Z108" s="100">
        <f t="shared" si="32"/>
        <v>0</v>
      </c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</row>
    <row r="109" spans="1:37">
      <c r="A109" s="170"/>
      <c r="B109" s="148"/>
      <c r="C109" s="122"/>
      <c r="D109" s="119"/>
      <c r="E109" s="132"/>
      <c r="H109" s="149"/>
      <c r="J109" s="132"/>
      <c r="K109" s="119"/>
      <c r="L109" s="149"/>
      <c r="M109" s="119"/>
      <c r="N109" s="580"/>
      <c r="O109" s="200"/>
      <c r="P109" s="201">
        <f t="shared" si="34"/>
        <v>29</v>
      </c>
      <c r="Q109" s="205">
        <v>3.55</v>
      </c>
      <c r="R109" s="205">
        <v>3.06</v>
      </c>
      <c r="S109" s="205">
        <v>2.57</v>
      </c>
      <c r="T109" s="199">
        <v>2.13</v>
      </c>
      <c r="U109" s="199">
        <v>1.73</v>
      </c>
      <c r="V109" s="100">
        <f t="shared" si="33"/>
        <v>0</v>
      </c>
      <c r="W109" s="100">
        <f t="shared" si="29"/>
        <v>0</v>
      </c>
      <c r="X109" s="100">
        <f t="shared" si="30"/>
        <v>0</v>
      </c>
      <c r="Y109" s="100">
        <f t="shared" si="31"/>
        <v>0</v>
      </c>
      <c r="Z109" s="100">
        <f t="shared" si="32"/>
        <v>0</v>
      </c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</row>
    <row r="110" spans="1:37">
      <c r="A110" s="170"/>
      <c r="B110" s="148"/>
      <c r="C110" s="122"/>
      <c r="D110" s="119"/>
      <c r="E110" s="132"/>
      <c r="H110" s="149"/>
      <c r="J110" s="132"/>
      <c r="K110" s="119"/>
      <c r="L110" s="149"/>
      <c r="M110" s="119"/>
      <c r="N110" s="580"/>
      <c r="O110" s="200"/>
      <c r="P110" s="201">
        <f t="shared" si="34"/>
        <v>30</v>
      </c>
      <c r="Q110" s="205">
        <v>3.57</v>
      </c>
      <c r="R110" s="205">
        <v>3.09</v>
      </c>
      <c r="S110" s="205">
        <v>2.59</v>
      </c>
      <c r="T110" s="199">
        <v>2.15</v>
      </c>
      <c r="U110" s="199">
        <v>1.75</v>
      </c>
      <c r="V110" s="100">
        <f t="shared" si="33"/>
        <v>0</v>
      </c>
      <c r="W110" s="100">
        <f t="shared" si="29"/>
        <v>0</v>
      </c>
      <c r="X110" s="100">
        <f t="shared" si="30"/>
        <v>0</v>
      </c>
      <c r="Y110" s="100">
        <f t="shared" si="31"/>
        <v>0</v>
      </c>
      <c r="Z110" s="100">
        <f t="shared" si="32"/>
        <v>0</v>
      </c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</row>
    <row r="111" spans="1:37">
      <c r="A111" s="170"/>
      <c r="B111" s="148"/>
      <c r="C111" s="122"/>
      <c r="D111" s="119"/>
      <c r="E111" s="132"/>
      <c r="H111" s="149"/>
      <c r="J111" s="132"/>
      <c r="K111" s="119"/>
      <c r="L111" s="149"/>
      <c r="M111" s="119"/>
      <c r="N111" s="580"/>
      <c r="O111" s="200"/>
      <c r="P111" s="201">
        <f t="shared" si="34"/>
        <v>31</v>
      </c>
      <c r="Q111" s="205">
        <v>3.59</v>
      </c>
      <c r="R111" s="205">
        <v>3.11</v>
      </c>
      <c r="S111" s="205">
        <v>2.62</v>
      </c>
      <c r="T111" s="199">
        <v>2.1800000000000002</v>
      </c>
      <c r="U111" s="199">
        <v>1.77</v>
      </c>
      <c r="V111" s="100">
        <f t="shared" si="33"/>
        <v>0</v>
      </c>
      <c r="W111" s="100">
        <f t="shared" si="29"/>
        <v>0</v>
      </c>
      <c r="X111" s="100">
        <f t="shared" si="30"/>
        <v>0</v>
      </c>
      <c r="Y111" s="100">
        <f t="shared" si="31"/>
        <v>0</v>
      </c>
      <c r="Z111" s="100">
        <f t="shared" si="32"/>
        <v>0</v>
      </c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</row>
    <row r="112" spans="1:37">
      <c r="A112" s="170"/>
      <c r="B112" s="148"/>
      <c r="C112" s="122"/>
      <c r="D112" s="119"/>
      <c r="E112" s="132"/>
      <c r="H112" s="149"/>
      <c r="J112" s="132"/>
      <c r="K112" s="119"/>
      <c r="L112" s="149"/>
      <c r="M112" s="119"/>
      <c r="N112" s="580"/>
      <c r="O112" s="200"/>
      <c r="P112" s="201">
        <f t="shared" si="34"/>
        <v>32</v>
      </c>
      <c r="Q112" s="205">
        <v>3.61</v>
      </c>
      <c r="R112" s="205">
        <v>3.13</v>
      </c>
      <c r="S112" s="205">
        <v>2.64</v>
      </c>
      <c r="T112" s="199">
        <v>2.2000000000000002</v>
      </c>
      <c r="U112" s="199">
        <v>1.8</v>
      </c>
      <c r="V112" s="100">
        <f t="shared" si="33"/>
        <v>0</v>
      </c>
      <c r="W112" s="100">
        <f t="shared" si="29"/>
        <v>0</v>
      </c>
      <c r="X112" s="100">
        <f t="shared" si="30"/>
        <v>0</v>
      </c>
      <c r="Y112" s="100">
        <f t="shared" si="31"/>
        <v>0</v>
      </c>
      <c r="Z112" s="100">
        <f t="shared" si="32"/>
        <v>0</v>
      </c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</row>
    <row r="113" spans="1:37">
      <c r="A113" s="170"/>
      <c r="B113" s="148"/>
      <c r="C113" s="122"/>
      <c r="D113" s="119"/>
      <c r="E113" s="132"/>
      <c r="H113" s="149"/>
      <c r="J113" s="132"/>
      <c r="K113" s="119"/>
      <c r="L113" s="149"/>
      <c r="M113" s="119"/>
      <c r="N113" s="580"/>
      <c r="O113" s="200"/>
      <c r="P113" s="201">
        <f t="shared" si="34"/>
        <v>33</v>
      </c>
      <c r="Q113" s="205">
        <v>3.63</v>
      </c>
      <c r="R113" s="205">
        <v>3.15</v>
      </c>
      <c r="S113" s="205">
        <v>2.66</v>
      </c>
      <c r="T113" s="199">
        <v>2.2200000000000002</v>
      </c>
      <c r="U113" s="199">
        <v>1.82</v>
      </c>
      <c r="V113" s="100">
        <f t="shared" ref="V113:V130" si="35">IF(P113=$U$7,Q113,0)</f>
        <v>0</v>
      </c>
      <c r="W113" s="100">
        <f t="shared" ref="W113:W130" si="36">IF(P113=$U$7,R113,0)</f>
        <v>0</v>
      </c>
      <c r="X113" s="100">
        <f t="shared" ref="X113:X130" si="37">IF(P113=$U$7,S113,0)</f>
        <v>0</v>
      </c>
      <c r="Y113" s="100">
        <f t="shared" ref="Y113:Y130" si="38">IF(P113=$U$7,T113,0)</f>
        <v>0</v>
      </c>
      <c r="Z113" s="100">
        <f t="shared" ref="Z113:Z130" si="39">IF(P113=$U$7,U113,0)</f>
        <v>0</v>
      </c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</row>
    <row r="114" spans="1:37">
      <c r="A114" s="170"/>
      <c r="B114" s="148"/>
      <c r="C114" s="122"/>
      <c r="D114" s="119"/>
      <c r="E114" s="132"/>
      <c r="H114" s="149"/>
      <c r="J114" s="132"/>
      <c r="K114" s="119"/>
      <c r="L114" s="149"/>
      <c r="M114" s="119"/>
      <c r="N114" s="580"/>
      <c r="O114" s="200"/>
      <c r="P114" s="201">
        <f t="shared" si="34"/>
        <v>34</v>
      </c>
      <c r="Q114" s="205">
        <v>3.65</v>
      </c>
      <c r="R114" s="205">
        <v>3.18</v>
      </c>
      <c r="S114" s="205">
        <v>2.69</v>
      </c>
      <c r="T114" s="199">
        <v>2.25</v>
      </c>
      <c r="U114" s="199">
        <v>1.84</v>
      </c>
      <c r="V114" s="100">
        <f t="shared" si="35"/>
        <v>0</v>
      </c>
      <c r="W114" s="100">
        <f t="shared" si="36"/>
        <v>0</v>
      </c>
      <c r="X114" s="100">
        <f t="shared" si="37"/>
        <v>0</v>
      </c>
      <c r="Y114" s="100">
        <f t="shared" si="38"/>
        <v>0</v>
      </c>
      <c r="Z114" s="100">
        <f t="shared" si="39"/>
        <v>0</v>
      </c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</row>
    <row r="115" spans="1:37">
      <c r="A115" s="170"/>
      <c r="B115" s="148"/>
      <c r="C115" s="122"/>
      <c r="D115" s="119"/>
      <c r="E115" s="132"/>
      <c r="H115" s="149"/>
      <c r="J115" s="132"/>
      <c r="K115" s="119"/>
      <c r="L115" s="149"/>
      <c r="M115" s="119"/>
      <c r="N115" s="580"/>
      <c r="O115" s="200"/>
      <c r="P115" s="201">
        <f t="shared" si="34"/>
        <v>35</v>
      </c>
      <c r="Q115" s="205">
        <v>3.67</v>
      </c>
      <c r="R115" s="205">
        <v>3.2</v>
      </c>
      <c r="S115" s="205">
        <v>2.71</v>
      </c>
      <c r="T115" s="199">
        <v>2.27</v>
      </c>
      <c r="U115" s="199">
        <v>1.86</v>
      </c>
      <c r="V115" s="100">
        <f t="shared" si="35"/>
        <v>0</v>
      </c>
      <c r="W115" s="100">
        <f t="shared" si="36"/>
        <v>0</v>
      </c>
      <c r="X115" s="100">
        <f t="shared" si="37"/>
        <v>0</v>
      </c>
      <c r="Y115" s="100">
        <f t="shared" si="38"/>
        <v>0</v>
      </c>
      <c r="Z115" s="100">
        <f t="shared" si="39"/>
        <v>0</v>
      </c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</row>
    <row r="116" spans="1:37">
      <c r="A116" s="170"/>
      <c r="B116" s="148"/>
      <c r="C116" s="122"/>
      <c r="D116" s="119"/>
      <c r="E116" s="132"/>
      <c r="H116" s="149"/>
      <c r="J116" s="132"/>
      <c r="K116" s="119"/>
      <c r="L116" s="149"/>
      <c r="M116" s="119"/>
      <c r="N116" s="580"/>
      <c r="O116" s="200"/>
      <c r="P116" s="201">
        <f t="shared" si="34"/>
        <v>36</v>
      </c>
      <c r="Q116" s="205">
        <v>3.69</v>
      </c>
      <c r="R116" s="205">
        <v>3.22</v>
      </c>
      <c r="S116" s="205">
        <v>2.73</v>
      </c>
      <c r="T116" s="199">
        <v>2.29</v>
      </c>
      <c r="U116" s="199">
        <v>1.88</v>
      </c>
      <c r="V116" s="100">
        <f t="shared" si="35"/>
        <v>0</v>
      </c>
      <c r="W116" s="100">
        <f t="shared" si="36"/>
        <v>0</v>
      </c>
      <c r="X116" s="100">
        <f t="shared" si="37"/>
        <v>0</v>
      </c>
      <c r="Y116" s="100">
        <f t="shared" si="38"/>
        <v>0</v>
      </c>
      <c r="Z116" s="100">
        <f t="shared" si="39"/>
        <v>0</v>
      </c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</row>
    <row r="117" spans="1:37">
      <c r="A117" s="170"/>
      <c r="B117" s="148"/>
      <c r="C117" s="122"/>
      <c r="D117" s="119"/>
      <c r="E117" s="132"/>
      <c r="H117" s="149"/>
      <c r="J117" s="132"/>
      <c r="K117" s="119"/>
      <c r="L117" s="149"/>
      <c r="M117" s="119"/>
      <c r="N117" s="580"/>
      <c r="O117" s="200"/>
      <c r="P117" s="201">
        <f t="shared" si="34"/>
        <v>37</v>
      </c>
      <c r="Q117" s="205">
        <v>3.71</v>
      </c>
      <c r="R117" s="205">
        <v>3.24</v>
      </c>
      <c r="S117" s="205">
        <v>2.75</v>
      </c>
      <c r="T117" s="199">
        <v>2.31</v>
      </c>
      <c r="U117" s="199">
        <v>1.9</v>
      </c>
      <c r="V117" s="100">
        <f t="shared" si="35"/>
        <v>0</v>
      </c>
      <c r="W117" s="100">
        <f t="shared" si="36"/>
        <v>0</v>
      </c>
      <c r="X117" s="100">
        <f t="shared" si="37"/>
        <v>0</v>
      </c>
      <c r="Y117" s="100">
        <f t="shared" si="38"/>
        <v>0</v>
      </c>
      <c r="Z117" s="100">
        <f t="shared" si="39"/>
        <v>0</v>
      </c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</row>
    <row r="118" spans="1:37">
      <c r="A118" s="170"/>
      <c r="B118" s="148"/>
      <c r="C118" s="122"/>
      <c r="D118" s="119"/>
      <c r="E118" s="132"/>
      <c r="H118" s="149"/>
      <c r="J118" s="132"/>
      <c r="K118" s="119"/>
      <c r="L118" s="149"/>
      <c r="M118" s="119"/>
      <c r="N118" s="580"/>
      <c r="O118" s="200"/>
      <c r="P118" s="201">
        <f t="shared" si="34"/>
        <v>38</v>
      </c>
      <c r="Q118" s="205">
        <v>3.72</v>
      </c>
      <c r="R118" s="205">
        <v>3.26</v>
      </c>
      <c r="S118" s="205">
        <v>2.77</v>
      </c>
      <c r="T118" s="199">
        <v>2.33</v>
      </c>
      <c r="U118" s="199">
        <v>1.92</v>
      </c>
      <c r="V118" s="100">
        <f t="shared" si="35"/>
        <v>0</v>
      </c>
      <c r="W118" s="100">
        <f t="shared" si="36"/>
        <v>0</v>
      </c>
      <c r="X118" s="100">
        <f t="shared" si="37"/>
        <v>0</v>
      </c>
      <c r="Y118" s="100">
        <f t="shared" si="38"/>
        <v>0</v>
      </c>
      <c r="Z118" s="100">
        <f t="shared" si="39"/>
        <v>0</v>
      </c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</row>
    <row r="119" spans="1:37">
      <c r="A119" s="170"/>
      <c r="B119" s="148"/>
      <c r="C119" s="122"/>
      <c r="D119" s="119"/>
      <c r="E119" s="132"/>
      <c r="H119" s="149"/>
      <c r="J119" s="132"/>
      <c r="K119" s="119"/>
      <c r="L119" s="149"/>
      <c r="M119" s="119"/>
      <c r="N119" s="580"/>
      <c r="O119" s="200"/>
      <c r="P119" s="201">
        <f t="shared" si="34"/>
        <v>39</v>
      </c>
      <c r="Q119" s="205">
        <v>3.74</v>
      </c>
      <c r="R119" s="205">
        <v>3.28</v>
      </c>
      <c r="S119" s="205">
        <v>2.79</v>
      </c>
      <c r="T119" s="199">
        <v>2.35</v>
      </c>
      <c r="U119" s="199">
        <v>1.94</v>
      </c>
      <c r="V119" s="100">
        <f t="shared" si="35"/>
        <v>0</v>
      </c>
      <c r="W119" s="100">
        <f t="shared" si="36"/>
        <v>0</v>
      </c>
      <c r="X119" s="100">
        <f t="shared" si="37"/>
        <v>0</v>
      </c>
      <c r="Y119" s="100">
        <f t="shared" si="38"/>
        <v>0</v>
      </c>
      <c r="Z119" s="100">
        <f t="shared" si="39"/>
        <v>0</v>
      </c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</row>
    <row r="120" spans="1:37">
      <c r="A120" s="170"/>
      <c r="B120" s="148"/>
      <c r="C120" s="122"/>
      <c r="D120" s="119"/>
      <c r="E120" s="132"/>
      <c r="H120" s="149"/>
      <c r="J120" s="132"/>
      <c r="K120" s="119"/>
      <c r="L120" s="149"/>
      <c r="M120" s="119"/>
      <c r="N120" s="580"/>
      <c r="O120" s="200"/>
      <c r="P120" s="201">
        <f t="shared" si="34"/>
        <v>40</v>
      </c>
      <c r="Q120" s="205">
        <v>3.76</v>
      </c>
      <c r="R120" s="205">
        <v>3.29</v>
      </c>
      <c r="S120" s="205">
        <v>2.81</v>
      </c>
      <c r="T120" s="199">
        <v>2.37</v>
      </c>
      <c r="U120" s="199">
        <v>1.96</v>
      </c>
      <c r="V120" s="100">
        <f t="shared" si="35"/>
        <v>0</v>
      </c>
      <c r="W120" s="100">
        <f t="shared" si="36"/>
        <v>0</v>
      </c>
      <c r="X120" s="100">
        <f t="shared" si="37"/>
        <v>0</v>
      </c>
      <c r="Y120" s="100">
        <f t="shared" si="38"/>
        <v>0</v>
      </c>
      <c r="Z120" s="100">
        <f t="shared" si="39"/>
        <v>0</v>
      </c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</row>
    <row r="121" spans="1:37">
      <c r="A121" s="170"/>
      <c r="B121" s="148"/>
      <c r="C121" s="122"/>
      <c r="D121" s="119"/>
      <c r="E121" s="132"/>
      <c r="H121" s="149"/>
      <c r="J121" s="132"/>
      <c r="K121" s="119"/>
      <c r="L121" s="149"/>
      <c r="M121" s="119"/>
      <c r="N121" s="580"/>
      <c r="O121" s="200"/>
      <c r="P121" s="201">
        <f t="shared" si="34"/>
        <v>41</v>
      </c>
      <c r="Q121" s="205">
        <v>3.77</v>
      </c>
      <c r="R121" s="205">
        <v>3.31</v>
      </c>
      <c r="S121" s="205">
        <v>2.83</v>
      </c>
      <c r="T121" s="199">
        <v>2.39</v>
      </c>
      <c r="U121" s="199">
        <v>1.98</v>
      </c>
      <c r="V121" s="100">
        <f t="shared" si="35"/>
        <v>0</v>
      </c>
      <c r="W121" s="100">
        <f t="shared" si="36"/>
        <v>0</v>
      </c>
      <c r="X121" s="100">
        <f t="shared" si="37"/>
        <v>0</v>
      </c>
      <c r="Y121" s="100">
        <f t="shared" si="38"/>
        <v>0</v>
      </c>
      <c r="Z121" s="100">
        <f t="shared" si="39"/>
        <v>0</v>
      </c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</row>
    <row r="122" spans="1:37">
      <c r="A122" s="170"/>
      <c r="B122" s="148"/>
      <c r="C122" s="122"/>
      <c r="D122" s="119"/>
      <c r="E122" s="132"/>
      <c r="H122" s="149"/>
      <c r="J122" s="132"/>
      <c r="K122" s="119"/>
      <c r="L122" s="149"/>
      <c r="M122" s="119"/>
      <c r="N122" s="580"/>
      <c r="O122" s="200"/>
      <c r="P122" s="201">
        <f t="shared" si="34"/>
        <v>42</v>
      </c>
      <c r="Q122" s="205">
        <v>3.79</v>
      </c>
      <c r="R122" s="205">
        <v>3.33</v>
      </c>
      <c r="S122" s="205">
        <v>2.85</v>
      </c>
      <c r="T122" s="199">
        <v>2.4</v>
      </c>
      <c r="U122" s="199">
        <v>1.99</v>
      </c>
      <c r="V122" s="100">
        <f t="shared" si="35"/>
        <v>0</v>
      </c>
      <c r="W122" s="100">
        <f t="shared" si="36"/>
        <v>0</v>
      </c>
      <c r="X122" s="100">
        <f t="shared" si="37"/>
        <v>0</v>
      </c>
      <c r="Y122" s="100">
        <f t="shared" si="38"/>
        <v>0</v>
      </c>
      <c r="Z122" s="100">
        <f t="shared" si="39"/>
        <v>0</v>
      </c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</row>
    <row r="123" spans="1:37">
      <c r="A123" s="170"/>
      <c r="B123" s="148"/>
      <c r="C123" s="122"/>
      <c r="D123" s="119"/>
      <c r="E123" s="132"/>
      <c r="H123" s="149"/>
      <c r="J123" s="132"/>
      <c r="K123" s="119"/>
      <c r="L123" s="149"/>
      <c r="M123" s="119"/>
      <c r="N123" s="580"/>
      <c r="O123" s="200"/>
      <c r="P123" s="201">
        <f t="shared" si="34"/>
        <v>43</v>
      </c>
      <c r="Q123" s="205">
        <v>3.8</v>
      </c>
      <c r="R123" s="205">
        <v>3.35</v>
      </c>
      <c r="S123" s="205">
        <v>2.86</v>
      </c>
      <c r="T123" s="199">
        <v>2.42</v>
      </c>
      <c r="U123" s="199">
        <v>2.0099999999999998</v>
      </c>
      <c r="V123" s="100">
        <f t="shared" si="35"/>
        <v>0</v>
      </c>
      <c r="W123" s="100">
        <f t="shared" si="36"/>
        <v>0</v>
      </c>
      <c r="X123" s="100">
        <f t="shared" si="37"/>
        <v>0</v>
      </c>
      <c r="Y123" s="100">
        <f t="shared" si="38"/>
        <v>0</v>
      </c>
      <c r="Z123" s="100">
        <f t="shared" si="39"/>
        <v>0</v>
      </c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</row>
    <row r="124" spans="1:37">
      <c r="A124" s="170"/>
      <c r="B124" s="148"/>
      <c r="C124" s="122"/>
      <c r="D124" s="119"/>
      <c r="E124" s="132"/>
      <c r="H124" s="149"/>
      <c r="J124" s="132"/>
      <c r="K124" s="119"/>
      <c r="L124" s="149"/>
      <c r="M124" s="119"/>
      <c r="N124" s="580"/>
      <c r="O124" s="200"/>
      <c r="P124" s="201">
        <f t="shared" si="34"/>
        <v>44</v>
      </c>
      <c r="Q124" s="205">
        <v>3.82</v>
      </c>
      <c r="R124" s="205">
        <v>3.36</v>
      </c>
      <c r="S124" s="205">
        <v>2.88</v>
      </c>
      <c r="T124" s="199">
        <v>2.44</v>
      </c>
      <c r="U124" s="199">
        <v>2.0299999999999998</v>
      </c>
      <c r="V124" s="100">
        <f t="shared" si="35"/>
        <v>0</v>
      </c>
      <c r="W124" s="100">
        <f t="shared" si="36"/>
        <v>0</v>
      </c>
      <c r="X124" s="100">
        <f t="shared" si="37"/>
        <v>0</v>
      </c>
      <c r="Y124" s="100">
        <f t="shared" si="38"/>
        <v>0</v>
      </c>
      <c r="Z124" s="100">
        <f t="shared" si="39"/>
        <v>0</v>
      </c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</row>
    <row r="125" spans="1:37">
      <c r="A125" s="170"/>
      <c r="B125" s="148"/>
      <c r="C125" s="122"/>
      <c r="D125" s="119"/>
      <c r="E125" s="132"/>
      <c r="H125" s="149"/>
      <c r="J125" s="132"/>
      <c r="K125" s="119"/>
      <c r="L125" s="149"/>
      <c r="M125" s="119"/>
      <c r="N125" s="580"/>
      <c r="O125" s="200"/>
      <c r="P125" s="201">
        <f t="shared" si="34"/>
        <v>45</v>
      </c>
      <c r="Q125" s="205">
        <v>3.83</v>
      </c>
      <c r="R125" s="205">
        <v>3.38</v>
      </c>
      <c r="S125" s="205">
        <v>2.9</v>
      </c>
      <c r="T125" s="199">
        <v>2.46</v>
      </c>
      <c r="U125" s="199">
        <v>2.0499999999999998</v>
      </c>
      <c r="V125" s="100">
        <f t="shared" si="35"/>
        <v>0</v>
      </c>
      <c r="W125" s="100">
        <f t="shared" si="36"/>
        <v>0</v>
      </c>
      <c r="X125" s="100">
        <f t="shared" si="37"/>
        <v>0</v>
      </c>
      <c r="Y125" s="100">
        <f t="shared" si="38"/>
        <v>0</v>
      </c>
      <c r="Z125" s="100">
        <f t="shared" si="39"/>
        <v>0</v>
      </c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</row>
    <row r="126" spans="1:37">
      <c r="A126" s="170"/>
      <c r="B126" s="148"/>
      <c r="C126" s="122"/>
      <c r="D126" s="119"/>
      <c r="E126" s="132"/>
      <c r="H126" s="149"/>
      <c r="J126" s="132"/>
      <c r="K126" s="119"/>
      <c r="L126" s="149"/>
      <c r="M126" s="119"/>
      <c r="N126" s="580"/>
      <c r="O126" s="200"/>
      <c r="P126" s="201">
        <f t="shared" si="34"/>
        <v>46</v>
      </c>
      <c r="Q126" s="205">
        <v>3.85</v>
      </c>
      <c r="R126" s="205">
        <v>3.4</v>
      </c>
      <c r="S126" s="205">
        <v>2.92</v>
      </c>
      <c r="T126" s="199">
        <v>2.4700000000000002</v>
      </c>
      <c r="U126" s="199">
        <v>2.06</v>
      </c>
      <c r="V126" s="100">
        <f t="shared" si="35"/>
        <v>0</v>
      </c>
      <c r="W126" s="100">
        <f t="shared" si="36"/>
        <v>0</v>
      </c>
      <c r="X126" s="100">
        <f t="shared" si="37"/>
        <v>0</v>
      </c>
      <c r="Y126" s="100">
        <f t="shared" si="38"/>
        <v>0</v>
      </c>
      <c r="Z126" s="100">
        <f t="shared" si="39"/>
        <v>0</v>
      </c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</row>
    <row r="127" spans="1:37">
      <c r="A127" s="170"/>
      <c r="B127" s="148"/>
      <c r="C127" s="122"/>
      <c r="D127" s="119"/>
      <c r="E127" s="132"/>
      <c r="H127" s="149"/>
      <c r="J127" s="132"/>
      <c r="K127" s="119"/>
      <c r="L127" s="149"/>
      <c r="M127" s="119"/>
      <c r="N127" s="580"/>
      <c r="O127" s="200"/>
      <c r="P127" s="201">
        <f t="shared" si="34"/>
        <v>47</v>
      </c>
      <c r="Q127" s="205">
        <v>3.86</v>
      </c>
      <c r="R127" s="205">
        <v>3.41</v>
      </c>
      <c r="S127" s="205">
        <v>2.93</v>
      </c>
      <c r="T127" s="199">
        <v>2.4900000000000002</v>
      </c>
      <c r="U127" s="199">
        <v>2.08</v>
      </c>
      <c r="V127" s="100">
        <f t="shared" si="35"/>
        <v>0</v>
      </c>
      <c r="W127" s="100">
        <f t="shared" si="36"/>
        <v>0</v>
      </c>
      <c r="X127" s="100">
        <f t="shared" si="37"/>
        <v>0</v>
      </c>
      <c r="Y127" s="100">
        <f t="shared" si="38"/>
        <v>0</v>
      </c>
      <c r="Z127" s="100">
        <f t="shared" si="39"/>
        <v>0</v>
      </c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</row>
    <row r="128" spans="1:37">
      <c r="A128" s="170"/>
      <c r="B128" s="148"/>
      <c r="C128" s="122"/>
      <c r="D128" s="119"/>
      <c r="E128" s="132"/>
      <c r="H128" s="149"/>
      <c r="J128" s="132"/>
      <c r="K128" s="119"/>
      <c r="L128" s="149"/>
      <c r="M128" s="119"/>
      <c r="N128" s="580"/>
      <c r="O128" s="200"/>
      <c r="P128" s="201">
        <f t="shared" si="34"/>
        <v>48</v>
      </c>
      <c r="Q128" s="205">
        <v>3.88</v>
      </c>
      <c r="R128" s="205">
        <v>3.43</v>
      </c>
      <c r="S128" s="205">
        <v>2.95</v>
      </c>
      <c r="T128" s="199">
        <v>2.5099999999999998</v>
      </c>
      <c r="U128" s="199">
        <v>2.09</v>
      </c>
      <c r="V128" s="100">
        <f t="shared" si="35"/>
        <v>0</v>
      </c>
      <c r="W128" s="100">
        <f t="shared" si="36"/>
        <v>0</v>
      </c>
      <c r="X128" s="100">
        <f t="shared" si="37"/>
        <v>0</v>
      </c>
      <c r="Y128" s="100">
        <f t="shared" si="38"/>
        <v>0</v>
      </c>
      <c r="Z128" s="100">
        <f t="shared" si="39"/>
        <v>0</v>
      </c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</row>
    <row r="129" spans="1:37">
      <c r="A129" s="170"/>
      <c r="B129" s="148"/>
      <c r="C129" s="122"/>
      <c r="D129" s="119"/>
      <c r="E129" s="132"/>
      <c r="H129" s="149"/>
      <c r="J129" s="132"/>
      <c r="K129" s="119"/>
      <c r="L129" s="149"/>
      <c r="M129" s="119"/>
      <c r="N129" s="580"/>
      <c r="O129" s="200"/>
      <c r="P129" s="201">
        <f t="shared" si="34"/>
        <v>49</v>
      </c>
      <c r="Q129" s="205">
        <v>3.89</v>
      </c>
      <c r="R129" s="205">
        <v>3.44</v>
      </c>
      <c r="S129" s="205">
        <v>2.96</v>
      </c>
      <c r="T129" s="199">
        <v>2.52</v>
      </c>
      <c r="U129" s="199">
        <v>2.11</v>
      </c>
      <c r="V129" s="100">
        <f t="shared" si="35"/>
        <v>0</v>
      </c>
      <c r="W129" s="100">
        <f t="shared" si="36"/>
        <v>0</v>
      </c>
      <c r="X129" s="100">
        <f t="shared" si="37"/>
        <v>0</v>
      </c>
      <c r="Y129" s="100">
        <f t="shared" si="38"/>
        <v>0</v>
      </c>
      <c r="Z129" s="100">
        <f t="shared" si="39"/>
        <v>0</v>
      </c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</row>
    <row r="130" spans="1:37" ht="15.75" thickBot="1">
      <c r="A130" s="208"/>
      <c r="B130" s="209"/>
      <c r="C130" s="210"/>
      <c r="D130" s="211"/>
      <c r="E130" s="212"/>
      <c r="F130" s="227"/>
      <c r="G130" s="227"/>
      <c r="H130" s="213"/>
      <c r="J130" s="212"/>
      <c r="K130" s="211"/>
      <c r="L130" s="213"/>
      <c r="M130" s="119"/>
      <c r="N130" s="581"/>
      <c r="O130" s="214"/>
      <c r="P130" s="201">
        <f t="shared" si="34"/>
        <v>50</v>
      </c>
      <c r="Q130" s="205">
        <v>3.9</v>
      </c>
      <c r="R130" s="205">
        <v>3.46</v>
      </c>
      <c r="S130" s="205">
        <v>2.98</v>
      </c>
      <c r="T130" s="199">
        <v>2.54</v>
      </c>
      <c r="U130" s="199">
        <v>2.12</v>
      </c>
      <c r="V130" s="100">
        <f t="shared" si="35"/>
        <v>0</v>
      </c>
      <c r="W130" s="100">
        <f t="shared" si="36"/>
        <v>0</v>
      </c>
      <c r="X130" s="100">
        <f t="shared" si="37"/>
        <v>0</v>
      </c>
      <c r="Y130" s="100">
        <f t="shared" si="38"/>
        <v>0</v>
      </c>
      <c r="Z130" s="100">
        <f t="shared" si="39"/>
        <v>0</v>
      </c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</row>
    <row r="131" spans="1:37">
      <c r="A131" s="215"/>
      <c r="B131" s="122"/>
      <c r="C131" s="122"/>
      <c r="D131" s="131"/>
      <c r="E131" s="131"/>
      <c r="F131" s="216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217">
        <f>IF(P68=0,SUM(V81:V130),0)</f>
        <v>0</v>
      </c>
      <c r="W131" s="217">
        <f>IF(P68="II",SUM(W81:W130),0)</f>
        <v>1.63</v>
      </c>
      <c r="X131" s="217">
        <f>IF(P68="IIIa",SUM(X81:X130),0)</f>
        <v>0</v>
      </c>
      <c r="Y131" s="217">
        <f>IF(P68="IIIb",SUM(Y81:Y130),0)</f>
        <v>0</v>
      </c>
      <c r="Z131" s="217">
        <f>IF(P68="IV",SUM(Z81:Z130),0)</f>
        <v>0</v>
      </c>
      <c r="AA131" s="218">
        <f>SUM(V131:Z131)</f>
        <v>1.63</v>
      </c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</row>
    <row r="132" spans="1:37">
      <c r="A132" s="215"/>
      <c r="B132" s="122"/>
      <c r="C132" s="122"/>
      <c r="D132" s="131"/>
      <c r="E132" s="131"/>
      <c r="F132" s="216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</row>
    <row r="133" spans="1:37">
      <c r="A133" s="215"/>
      <c r="B133" s="122"/>
      <c r="C133" s="122"/>
      <c r="D133" s="131"/>
      <c r="E133" s="131"/>
      <c r="F133" s="216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>
        <f>IF(Z136&lt;0.125,1,0)</f>
        <v>1</v>
      </c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</row>
    <row r="134" spans="1:37">
      <c r="A134" s="215"/>
      <c r="B134" s="122"/>
      <c r="C134" s="122"/>
      <c r="D134" s="131"/>
      <c r="E134" s="131"/>
      <c r="F134" s="216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582" t="s">
        <v>442</v>
      </c>
      <c r="Z134" s="583"/>
      <c r="AA134" s="583"/>
      <c r="AB134" s="572"/>
      <c r="AC134" s="119"/>
      <c r="AD134" s="119"/>
      <c r="AE134" s="119"/>
      <c r="AF134" s="119"/>
      <c r="AG134" s="119"/>
      <c r="AH134" s="119"/>
      <c r="AI134" s="119"/>
      <c r="AJ134" s="119"/>
      <c r="AK134" s="119"/>
    </row>
    <row r="135" spans="1:37">
      <c r="A135" s="215"/>
      <c r="B135" s="122"/>
      <c r="C135" s="122"/>
      <c r="D135" s="131"/>
      <c r="E135" s="131"/>
      <c r="F135" s="216"/>
      <c r="G135" s="119"/>
      <c r="H135" s="119"/>
      <c r="I135" s="119"/>
      <c r="J135" s="119"/>
      <c r="K135" s="119"/>
      <c r="L135" s="119"/>
      <c r="M135" s="119"/>
      <c r="N135" s="541" t="s">
        <v>544</v>
      </c>
      <c r="O135" s="564"/>
      <c r="P135" s="572" t="s">
        <v>545</v>
      </c>
      <c r="Q135" s="573"/>
      <c r="R135" s="573"/>
      <c r="S135" s="573"/>
      <c r="T135" s="573"/>
      <c r="U135" s="573"/>
      <c r="V135" s="573"/>
      <c r="W135" s="573"/>
      <c r="X135" s="119"/>
      <c r="Y135" s="100" t="s">
        <v>535</v>
      </c>
      <c r="Z135" s="100" t="s">
        <v>536</v>
      </c>
      <c r="AA135" s="101" t="s">
        <v>538</v>
      </c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</row>
    <row r="136" spans="1:37">
      <c r="A136" s="215"/>
      <c r="B136" s="122"/>
      <c r="C136" s="122"/>
      <c r="D136" s="131"/>
      <c r="E136" s="131"/>
      <c r="F136" s="216"/>
      <c r="G136" s="119"/>
      <c r="H136" s="119"/>
      <c r="I136" s="119"/>
      <c r="J136" s="119"/>
      <c r="K136" s="119"/>
      <c r="L136" s="119"/>
      <c r="M136" s="119"/>
      <c r="N136" s="565"/>
      <c r="O136" s="566"/>
      <c r="P136" s="572" t="s">
        <v>546</v>
      </c>
      <c r="Q136" s="573"/>
      <c r="R136" s="573" t="s">
        <v>547</v>
      </c>
      <c r="S136" s="573"/>
      <c r="T136" s="573" t="s">
        <v>548</v>
      </c>
      <c r="U136" s="573"/>
      <c r="V136" s="573" t="s">
        <v>549</v>
      </c>
      <c r="W136" s="573"/>
      <c r="X136" s="119"/>
      <c r="Y136" s="219">
        <f>R69</f>
        <v>0</v>
      </c>
      <c r="Z136" s="219">
        <f>R70</f>
        <v>0</v>
      </c>
      <c r="AA136" s="220">
        <f>R71</f>
        <v>0</v>
      </c>
      <c r="AB136" s="169"/>
      <c r="AC136" s="119"/>
      <c r="AD136" s="119"/>
      <c r="AE136" s="119"/>
      <c r="AF136" s="119"/>
      <c r="AG136" s="119"/>
      <c r="AH136" s="119"/>
      <c r="AI136" s="119"/>
      <c r="AJ136" s="119"/>
      <c r="AK136" s="119"/>
    </row>
    <row r="137" spans="1:37">
      <c r="A137" s="215"/>
      <c r="B137" s="122"/>
      <c r="C137" s="122"/>
      <c r="D137" s="131"/>
      <c r="E137" s="131"/>
      <c r="F137" s="216"/>
      <c r="G137" s="119"/>
      <c r="H137" s="119"/>
      <c r="I137" s="119"/>
      <c r="J137" s="119"/>
      <c r="K137" s="119"/>
      <c r="L137" s="119"/>
      <c r="M137" s="119"/>
      <c r="N137" s="542"/>
      <c r="O137" s="571"/>
      <c r="P137" s="221" t="s">
        <v>550</v>
      </c>
      <c r="Q137" s="100" t="s">
        <v>551</v>
      </c>
      <c r="R137" s="100" t="s">
        <v>550</v>
      </c>
      <c r="S137" s="100" t="s">
        <v>551</v>
      </c>
      <c r="T137" s="100" t="s">
        <v>550</v>
      </c>
      <c r="U137" s="100" t="s">
        <v>551</v>
      </c>
      <c r="V137" s="100" t="s">
        <v>550</v>
      </c>
      <c r="W137" s="100" t="s">
        <v>551</v>
      </c>
      <c r="X137" s="119"/>
      <c r="Y137" s="169" t="e">
        <f>#REF!</f>
        <v>#REF!</v>
      </c>
      <c r="Z137" s="169" t="e">
        <f>#REF!</f>
        <v>#REF!</v>
      </c>
      <c r="AA137" s="169" t="e">
        <f>#REF!</f>
        <v>#REF!</v>
      </c>
      <c r="AB137" s="169">
        <f>P72</f>
        <v>0</v>
      </c>
      <c r="AC137" s="119"/>
      <c r="AD137" s="119"/>
      <c r="AE137" s="119"/>
      <c r="AF137" s="119"/>
      <c r="AG137" s="119"/>
      <c r="AH137" s="119"/>
      <c r="AI137" s="119"/>
      <c r="AJ137" s="119"/>
      <c r="AK137" s="119"/>
    </row>
    <row r="138" spans="1:37">
      <c r="A138" s="215"/>
      <c r="B138" s="122"/>
      <c r="C138" s="122"/>
      <c r="D138" s="131"/>
      <c r="E138" s="131"/>
      <c r="F138" s="216"/>
      <c r="G138" s="119"/>
      <c r="H138" s="119"/>
      <c r="I138" s="119"/>
      <c r="J138" s="119"/>
      <c r="K138" s="119"/>
      <c r="L138" s="119"/>
      <c r="M138" s="119"/>
      <c r="N138" s="541" t="s">
        <v>539</v>
      </c>
      <c r="O138" s="564"/>
      <c r="P138" s="534">
        <v>-1.8</v>
      </c>
      <c r="Q138" s="534">
        <v>-2.5</v>
      </c>
      <c r="R138" s="534">
        <v>-1.2</v>
      </c>
      <c r="S138" s="534">
        <v>-2</v>
      </c>
      <c r="T138" s="534">
        <v>-0.7</v>
      </c>
      <c r="U138" s="534">
        <v>-1.2</v>
      </c>
      <c r="V138" s="536" t="s">
        <v>552</v>
      </c>
      <c r="W138" s="563"/>
      <c r="X138" s="119"/>
      <c r="Y138" s="534">
        <f t="shared" ref="Y138:AE138" si="40">IF($AB$95=1,P138,0)</f>
        <v>0</v>
      </c>
      <c r="Z138" s="534">
        <f t="shared" si="40"/>
        <v>0</v>
      </c>
      <c r="AA138" s="534">
        <f t="shared" si="40"/>
        <v>0</v>
      </c>
      <c r="AB138" s="534">
        <f t="shared" si="40"/>
        <v>0</v>
      </c>
      <c r="AC138" s="534">
        <f t="shared" si="40"/>
        <v>0</v>
      </c>
      <c r="AD138" s="534">
        <f t="shared" si="40"/>
        <v>0</v>
      </c>
      <c r="AE138" s="536">
        <f t="shared" si="40"/>
        <v>0</v>
      </c>
      <c r="AF138" s="563"/>
      <c r="AG138" s="119"/>
      <c r="AH138" s="119"/>
      <c r="AI138" s="119"/>
      <c r="AJ138" s="119"/>
      <c r="AK138" s="119"/>
    </row>
    <row r="139" spans="1:37" ht="15.75" thickBot="1">
      <c r="A139" s="215"/>
      <c r="B139" s="122"/>
      <c r="C139" s="122"/>
      <c r="D139" s="131"/>
      <c r="E139" s="131"/>
      <c r="F139" s="216"/>
      <c r="G139" s="119"/>
      <c r="H139" s="119"/>
      <c r="I139" s="119"/>
      <c r="J139" s="119"/>
      <c r="K139" s="119"/>
      <c r="L139" s="119"/>
      <c r="M139" s="119"/>
      <c r="N139" s="565"/>
      <c r="O139" s="566"/>
      <c r="P139" s="558"/>
      <c r="Q139" s="558"/>
      <c r="R139" s="558"/>
      <c r="S139" s="558"/>
      <c r="T139" s="558"/>
      <c r="U139" s="558"/>
      <c r="V139" s="554" t="s">
        <v>553</v>
      </c>
      <c r="W139" s="564"/>
      <c r="X139" s="119"/>
      <c r="Y139" s="558"/>
      <c r="Z139" s="558"/>
      <c r="AA139" s="558"/>
      <c r="AB139" s="558"/>
      <c r="AC139" s="558"/>
      <c r="AD139" s="558"/>
      <c r="AE139" s="554">
        <f>IF($AB$95=1,V139,0)</f>
        <v>0</v>
      </c>
      <c r="AF139" s="564"/>
      <c r="AG139" s="119"/>
      <c r="AH139" s="119"/>
      <c r="AI139" s="119"/>
      <c r="AJ139" s="119"/>
      <c r="AK139" s="119"/>
    </row>
    <row r="140" spans="1:37">
      <c r="A140" s="215"/>
      <c r="B140" s="122"/>
      <c r="C140" s="122"/>
      <c r="D140" s="131"/>
      <c r="E140" s="131"/>
      <c r="F140" s="216"/>
      <c r="G140" s="119"/>
      <c r="H140" s="119"/>
      <c r="I140" s="119"/>
      <c r="J140" s="119"/>
      <c r="K140" s="119"/>
      <c r="L140" s="119"/>
      <c r="M140" s="119"/>
      <c r="N140" s="549" t="s">
        <v>554</v>
      </c>
      <c r="O140" s="546" t="s">
        <v>555</v>
      </c>
      <c r="P140" s="546">
        <f>P142+(P144-P146)</f>
        <v>-1.7000000000000002</v>
      </c>
      <c r="Q140" s="546">
        <f t="shared" ref="Q140:U140" si="41">Q142+(Q144-Q146)</f>
        <v>-2.3000000000000003</v>
      </c>
      <c r="R140" s="546">
        <f t="shared" si="41"/>
        <v>-1.2000000000000002</v>
      </c>
      <c r="S140" s="546">
        <f t="shared" si="41"/>
        <v>-1.9000000000000001</v>
      </c>
      <c r="T140" s="546">
        <f t="shared" si="41"/>
        <v>-0.7</v>
      </c>
      <c r="U140" s="546">
        <f t="shared" si="41"/>
        <v>-1.2</v>
      </c>
      <c r="V140" s="547" t="s">
        <v>552</v>
      </c>
      <c r="W140" s="545"/>
      <c r="X140" s="537">
        <f>IF(0&lt;=$Z$94,IF($Z$94&lt;0.025,1,0),0)</f>
        <v>1</v>
      </c>
      <c r="Y140" s="549">
        <f>IF($Z$95=1,IF($X$98=1,P140,0),0)</f>
        <v>0</v>
      </c>
      <c r="Z140" s="546">
        <f t="shared" ref="Z140:AD140" si="42">IF($Z$95=1,IF($X$98=1,Q140,0),0)</f>
        <v>0</v>
      </c>
      <c r="AA140" s="546">
        <f t="shared" si="42"/>
        <v>0</v>
      </c>
      <c r="AB140" s="546">
        <f t="shared" si="42"/>
        <v>0</v>
      </c>
      <c r="AC140" s="546">
        <f t="shared" si="42"/>
        <v>0</v>
      </c>
      <c r="AD140" s="546">
        <f t="shared" si="42"/>
        <v>0</v>
      </c>
      <c r="AE140" s="547">
        <f>IF($Z$95=1,IF(X140=1,V140,0),0)</f>
        <v>0</v>
      </c>
      <c r="AF140" s="545"/>
      <c r="AG140" s="119"/>
      <c r="AH140" s="119"/>
      <c r="AI140" s="119"/>
      <c r="AJ140" s="119"/>
      <c r="AK140" s="119"/>
    </row>
    <row r="141" spans="1:37">
      <c r="A141" s="215"/>
      <c r="B141" s="122"/>
      <c r="C141" s="122"/>
      <c r="D141" s="131"/>
      <c r="E141" s="131"/>
      <c r="F141" s="216"/>
      <c r="G141" s="119"/>
      <c r="H141" s="119"/>
      <c r="I141" s="119"/>
      <c r="J141" s="119"/>
      <c r="K141" s="119"/>
      <c r="L141" s="119"/>
      <c r="M141" s="119"/>
      <c r="N141" s="550"/>
      <c r="O141" s="540"/>
      <c r="P141" s="540"/>
      <c r="Q141" s="540"/>
      <c r="R141" s="540"/>
      <c r="S141" s="540"/>
      <c r="T141" s="540"/>
      <c r="U141" s="540"/>
      <c r="V141" s="536" t="s">
        <v>553</v>
      </c>
      <c r="W141" s="530"/>
      <c r="X141" s="537"/>
      <c r="Y141" s="562"/>
      <c r="Z141" s="540"/>
      <c r="AA141" s="540"/>
      <c r="AB141" s="540"/>
      <c r="AC141" s="540"/>
      <c r="AD141" s="540"/>
      <c r="AE141" s="536">
        <f>IF($Z$95=1,IF(X140=1,V141,0),0)</f>
        <v>0</v>
      </c>
      <c r="AF141" s="530"/>
      <c r="AG141" s="119"/>
      <c r="AH141" s="119"/>
      <c r="AI141" s="119"/>
      <c r="AJ141" s="119"/>
      <c r="AK141" s="119"/>
    </row>
    <row r="142" spans="1:37">
      <c r="A142" s="215"/>
      <c r="B142" s="122"/>
      <c r="C142" s="122"/>
      <c r="D142" s="131"/>
      <c r="E142" s="131"/>
      <c r="F142" s="216"/>
      <c r="G142" s="119"/>
      <c r="H142" s="119"/>
      <c r="I142" s="119"/>
      <c r="J142" s="119"/>
      <c r="K142" s="119"/>
      <c r="L142" s="119"/>
      <c r="M142" s="119"/>
      <c r="N142" s="550"/>
      <c r="O142" s="534" t="s">
        <v>556</v>
      </c>
      <c r="P142" s="534">
        <v>-1.6</v>
      </c>
      <c r="Q142" s="534">
        <v>-2.2000000000000002</v>
      </c>
      <c r="R142" s="534">
        <v>-1.1000000000000001</v>
      </c>
      <c r="S142" s="534">
        <v>-1.8</v>
      </c>
      <c r="T142" s="534">
        <v>-0.7</v>
      </c>
      <c r="U142" s="534">
        <v>-1.2</v>
      </c>
      <c r="V142" s="536" t="s">
        <v>552</v>
      </c>
      <c r="W142" s="530"/>
      <c r="X142" s="537">
        <f>IF(0.025&lt;=$Z$94,IF($Z$94&lt;0.0375,1,0),0)</f>
        <v>0</v>
      </c>
      <c r="Y142" s="561">
        <f>IF($Z$95=1,IF($X$100=1,P142,0),0)</f>
        <v>0</v>
      </c>
      <c r="Z142" s="534">
        <f t="shared" ref="Z142:AD142" si="43">IF($Z$95=1,IF($X$100=1,Q142,0),0)</f>
        <v>0</v>
      </c>
      <c r="AA142" s="534">
        <f t="shared" si="43"/>
        <v>0</v>
      </c>
      <c r="AB142" s="534">
        <f t="shared" si="43"/>
        <v>0</v>
      </c>
      <c r="AC142" s="534">
        <f t="shared" si="43"/>
        <v>0</v>
      </c>
      <c r="AD142" s="534">
        <f t="shared" si="43"/>
        <v>0</v>
      </c>
      <c r="AE142" s="536">
        <f>IF($Z$95=1,IF(X142=1,V142,0),0)</f>
        <v>0</v>
      </c>
      <c r="AF142" s="530"/>
      <c r="AG142" s="119"/>
      <c r="AH142" s="119"/>
      <c r="AI142" s="119"/>
      <c r="AJ142" s="119"/>
      <c r="AK142" s="119"/>
    </row>
    <row r="143" spans="1:37">
      <c r="A143" s="215"/>
      <c r="B143" s="122"/>
      <c r="C143" s="122"/>
      <c r="D143" s="131"/>
      <c r="E143" s="131"/>
      <c r="F143" s="216"/>
      <c r="G143" s="119"/>
      <c r="H143" s="119"/>
      <c r="I143" s="119"/>
      <c r="J143" s="119"/>
      <c r="K143" s="119"/>
      <c r="L143" s="119"/>
      <c r="M143" s="119"/>
      <c r="N143" s="550"/>
      <c r="O143" s="540"/>
      <c r="P143" s="540"/>
      <c r="Q143" s="540"/>
      <c r="R143" s="540"/>
      <c r="S143" s="540"/>
      <c r="T143" s="540"/>
      <c r="U143" s="540"/>
      <c r="V143" s="536" t="s">
        <v>553</v>
      </c>
      <c r="W143" s="530"/>
      <c r="X143" s="537"/>
      <c r="Y143" s="562"/>
      <c r="Z143" s="540"/>
      <c r="AA143" s="540"/>
      <c r="AB143" s="540"/>
      <c r="AC143" s="540"/>
      <c r="AD143" s="540"/>
      <c r="AE143" s="536">
        <f>IF($Z$95=1,IF(X142=1,V143,0),0)</f>
        <v>0</v>
      </c>
      <c r="AF143" s="530"/>
      <c r="AG143" s="119"/>
      <c r="AH143" s="119"/>
      <c r="AI143" s="119"/>
      <c r="AJ143" s="119"/>
      <c r="AK143" s="119"/>
    </row>
    <row r="144" spans="1:37">
      <c r="A144" s="215"/>
      <c r="B144" s="122"/>
      <c r="C144" s="122"/>
      <c r="D144" s="131"/>
      <c r="E144" s="131"/>
      <c r="F144" s="216"/>
      <c r="G144" s="119"/>
      <c r="H144" s="119"/>
      <c r="I144" s="119"/>
      <c r="J144" s="119"/>
      <c r="K144" s="119"/>
      <c r="L144" s="119"/>
      <c r="M144" s="119"/>
      <c r="N144" s="550"/>
      <c r="O144" s="534" t="s">
        <v>557</v>
      </c>
      <c r="P144" s="534">
        <f>(P146+P142)/2</f>
        <v>-1.5</v>
      </c>
      <c r="Q144" s="534">
        <f t="shared" ref="Q144:U144" si="44">(Q146+Q142)/2</f>
        <v>-2.1</v>
      </c>
      <c r="R144" s="534">
        <f t="shared" si="44"/>
        <v>-1</v>
      </c>
      <c r="S144" s="534">
        <f t="shared" si="44"/>
        <v>-1.7000000000000002</v>
      </c>
      <c r="T144" s="534">
        <f t="shared" si="44"/>
        <v>-0.7</v>
      </c>
      <c r="U144" s="534">
        <f t="shared" si="44"/>
        <v>-1.2</v>
      </c>
      <c r="V144" s="536" t="s">
        <v>552</v>
      </c>
      <c r="W144" s="530"/>
      <c r="X144" s="537">
        <f>IF(0.0375&lt;=$Z$94,IF($Z$94&lt;0.05,1,0),0)</f>
        <v>0</v>
      </c>
      <c r="Y144" s="561">
        <f>IF($Z$95=1,IF($X$102=1,P144,0),0)</f>
        <v>0</v>
      </c>
      <c r="Z144" s="534">
        <f t="shared" ref="Z144:AD144" si="45">IF($Z$95=1,IF($X$102=1,Q144,0),0)</f>
        <v>0</v>
      </c>
      <c r="AA144" s="534">
        <f t="shared" si="45"/>
        <v>0</v>
      </c>
      <c r="AB144" s="534">
        <f t="shared" si="45"/>
        <v>0</v>
      </c>
      <c r="AC144" s="534">
        <f t="shared" si="45"/>
        <v>0</v>
      </c>
      <c r="AD144" s="534">
        <f t="shared" si="45"/>
        <v>0</v>
      </c>
      <c r="AE144" s="536">
        <f>IF($Z$95=1,IF(X144=1,V144,0),0)</f>
        <v>0</v>
      </c>
      <c r="AF144" s="530"/>
      <c r="AG144" s="119"/>
      <c r="AH144" s="119"/>
      <c r="AI144" s="119"/>
      <c r="AJ144" s="119"/>
      <c r="AK144" s="119"/>
    </row>
    <row r="145" spans="1:37">
      <c r="A145" s="215"/>
      <c r="B145" s="122"/>
      <c r="C145" s="122"/>
      <c r="D145" s="131"/>
      <c r="E145" s="131"/>
      <c r="F145" s="216"/>
      <c r="G145" s="119"/>
      <c r="H145" s="119"/>
      <c r="I145" s="119"/>
      <c r="J145" s="119"/>
      <c r="K145" s="119"/>
      <c r="L145" s="119"/>
      <c r="M145" s="119"/>
      <c r="N145" s="550"/>
      <c r="O145" s="540"/>
      <c r="P145" s="540"/>
      <c r="Q145" s="540"/>
      <c r="R145" s="540"/>
      <c r="S145" s="540"/>
      <c r="T145" s="540"/>
      <c r="U145" s="540"/>
      <c r="V145" s="536" t="s">
        <v>553</v>
      </c>
      <c r="W145" s="530"/>
      <c r="X145" s="537"/>
      <c r="Y145" s="562"/>
      <c r="Z145" s="540"/>
      <c r="AA145" s="540"/>
      <c r="AB145" s="540"/>
      <c r="AC145" s="540"/>
      <c r="AD145" s="540"/>
      <c r="AE145" s="536">
        <f>IF($Z$95=1,IF(X144=1,V145,0),0)</f>
        <v>0</v>
      </c>
      <c r="AF145" s="530"/>
      <c r="AG145" s="119"/>
      <c r="AH145" s="119"/>
      <c r="AI145" s="119"/>
      <c r="AJ145" s="119"/>
      <c r="AK145" s="119"/>
    </row>
    <row r="146" spans="1:37">
      <c r="A146" s="215"/>
      <c r="B146" s="122"/>
      <c r="C146" s="122"/>
      <c r="D146" s="131"/>
      <c r="E146" s="131"/>
      <c r="F146" s="216"/>
      <c r="G146" s="119"/>
      <c r="H146" s="119"/>
      <c r="I146" s="119"/>
      <c r="J146" s="119"/>
      <c r="K146" s="119"/>
      <c r="L146" s="119"/>
      <c r="M146" s="119"/>
      <c r="N146" s="550"/>
      <c r="O146" s="534" t="s">
        <v>558</v>
      </c>
      <c r="P146" s="534">
        <v>-1.4</v>
      </c>
      <c r="Q146" s="534">
        <v>-2</v>
      </c>
      <c r="R146" s="534">
        <v>-0.9</v>
      </c>
      <c r="S146" s="534">
        <v>-1.6</v>
      </c>
      <c r="T146" s="534">
        <v>-0.7</v>
      </c>
      <c r="U146" s="534">
        <v>-1.2</v>
      </c>
      <c r="V146" s="536" t="s">
        <v>552</v>
      </c>
      <c r="W146" s="530"/>
      <c r="X146" s="537">
        <f>IF(0.05&lt;=$Z$94,IF($Z$94&lt;0.075,1,0),0)</f>
        <v>0</v>
      </c>
      <c r="Y146" s="561">
        <f>IF($Z$95=1,IF($X$104=1,P146,0),0)</f>
        <v>0</v>
      </c>
      <c r="Z146" s="534">
        <f t="shared" ref="Z146:AD146" si="46">IF($Z$95=1,IF($X$104=1,Q146,0),0)</f>
        <v>0</v>
      </c>
      <c r="AA146" s="534">
        <f t="shared" si="46"/>
        <v>0</v>
      </c>
      <c r="AB146" s="534">
        <f t="shared" si="46"/>
        <v>0</v>
      </c>
      <c r="AC146" s="534">
        <f t="shared" si="46"/>
        <v>0</v>
      </c>
      <c r="AD146" s="534">
        <f t="shared" si="46"/>
        <v>0</v>
      </c>
      <c r="AE146" s="536">
        <f>IF($Z$95=1,IF(X146=1,V146,0),0)</f>
        <v>0</v>
      </c>
      <c r="AF146" s="530"/>
      <c r="AG146" s="119"/>
      <c r="AH146" s="119"/>
      <c r="AI146" s="119"/>
      <c r="AJ146" s="119"/>
      <c r="AK146" s="119"/>
    </row>
    <row r="147" spans="1:37">
      <c r="A147" s="215"/>
      <c r="B147" s="122"/>
      <c r="C147" s="122"/>
      <c r="D147" s="131"/>
      <c r="E147" s="131"/>
      <c r="F147" s="216"/>
      <c r="G147" s="119"/>
      <c r="H147" s="119"/>
      <c r="I147" s="119"/>
      <c r="J147" s="119"/>
      <c r="K147" s="119"/>
      <c r="L147" s="119"/>
      <c r="M147" s="119"/>
      <c r="N147" s="550"/>
      <c r="O147" s="540"/>
      <c r="P147" s="540"/>
      <c r="Q147" s="540"/>
      <c r="R147" s="540"/>
      <c r="S147" s="540"/>
      <c r="T147" s="540"/>
      <c r="U147" s="540"/>
      <c r="V147" s="536" t="s">
        <v>553</v>
      </c>
      <c r="W147" s="530"/>
      <c r="X147" s="537"/>
      <c r="Y147" s="562"/>
      <c r="Z147" s="540"/>
      <c r="AA147" s="540"/>
      <c r="AB147" s="540"/>
      <c r="AC147" s="540"/>
      <c r="AD147" s="540"/>
      <c r="AE147" s="536">
        <f>IF($Z$95=1,IF(X146=1,V147,0),0)</f>
        <v>0</v>
      </c>
      <c r="AF147" s="530"/>
      <c r="AG147" s="119"/>
      <c r="AH147" s="119"/>
      <c r="AI147" s="119"/>
      <c r="AJ147" s="119"/>
      <c r="AK147" s="119"/>
    </row>
    <row r="148" spans="1:37">
      <c r="A148" s="215"/>
      <c r="B148" s="122"/>
      <c r="C148" s="122"/>
      <c r="D148" s="131"/>
      <c r="E148" s="131"/>
      <c r="F148" s="216"/>
      <c r="G148" s="119"/>
      <c r="H148" s="119"/>
      <c r="I148" s="119"/>
      <c r="J148" s="119"/>
      <c r="K148" s="119"/>
      <c r="L148" s="119"/>
      <c r="M148" s="119"/>
      <c r="N148" s="550"/>
      <c r="O148" s="534" t="s">
        <v>559</v>
      </c>
      <c r="P148" s="534">
        <f>(P150+P146)/2</f>
        <v>-1.2999999999999998</v>
      </c>
      <c r="Q148" s="534">
        <f t="shared" ref="Q148:U148" si="47">(Q150+Q146)/2</f>
        <v>-1.9</v>
      </c>
      <c r="R148" s="534">
        <f t="shared" si="47"/>
        <v>-0.85000000000000009</v>
      </c>
      <c r="S148" s="534">
        <f t="shared" si="47"/>
        <v>-1.5</v>
      </c>
      <c r="T148" s="534">
        <f t="shared" si="47"/>
        <v>-0.7</v>
      </c>
      <c r="U148" s="534">
        <f t="shared" si="47"/>
        <v>-1.2</v>
      </c>
      <c r="V148" s="536" t="s">
        <v>552</v>
      </c>
      <c r="W148" s="530"/>
      <c r="X148" s="537">
        <f>IF(0.075&lt;=$Z$94,IF($Z$94&lt;0.1,1,0),0)</f>
        <v>0</v>
      </c>
      <c r="Y148" s="561">
        <f>IF($Z$95=1,IF($X$106=1,P148,0),0)</f>
        <v>0</v>
      </c>
      <c r="Z148" s="534">
        <f t="shared" ref="Z148:AD148" si="48">IF($Z$95=1,IF($X$106=1,Q148,0),0)</f>
        <v>0</v>
      </c>
      <c r="AA148" s="534">
        <f t="shared" si="48"/>
        <v>0</v>
      </c>
      <c r="AB148" s="534">
        <f t="shared" si="48"/>
        <v>0</v>
      </c>
      <c r="AC148" s="534">
        <f t="shared" si="48"/>
        <v>0</v>
      </c>
      <c r="AD148" s="534">
        <f t="shared" si="48"/>
        <v>0</v>
      </c>
      <c r="AE148" s="536">
        <f>IF($Z$95=1,IF(X148=1,V148,0),0)</f>
        <v>0</v>
      </c>
      <c r="AF148" s="530"/>
      <c r="AG148" s="119"/>
      <c r="AH148" s="119"/>
      <c r="AI148" s="119"/>
      <c r="AJ148" s="119"/>
      <c r="AK148" s="119"/>
    </row>
    <row r="149" spans="1:37">
      <c r="A149" s="215"/>
      <c r="B149" s="122"/>
      <c r="C149" s="122"/>
      <c r="D149" s="131"/>
      <c r="E149" s="131"/>
      <c r="F149" s="216"/>
      <c r="G149" s="119"/>
      <c r="H149" s="119"/>
      <c r="I149" s="119"/>
      <c r="J149" s="119"/>
      <c r="K149" s="119"/>
      <c r="L149" s="119"/>
      <c r="M149" s="119"/>
      <c r="N149" s="550"/>
      <c r="O149" s="540"/>
      <c r="P149" s="540"/>
      <c r="Q149" s="540"/>
      <c r="R149" s="540"/>
      <c r="S149" s="540"/>
      <c r="T149" s="540"/>
      <c r="U149" s="540"/>
      <c r="V149" s="536" t="s">
        <v>553</v>
      </c>
      <c r="W149" s="530"/>
      <c r="X149" s="537"/>
      <c r="Y149" s="562"/>
      <c r="Z149" s="540"/>
      <c r="AA149" s="540"/>
      <c r="AB149" s="540"/>
      <c r="AC149" s="540"/>
      <c r="AD149" s="540"/>
      <c r="AE149" s="536">
        <f>IF($Z$95=1,IF(X148=1,V149,0),0)</f>
        <v>0</v>
      </c>
      <c r="AF149" s="530"/>
      <c r="AG149" s="119"/>
      <c r="AH149" s="119"/>
      <c r="AI149" s="119"/>
      <c r="AJ149" s="119"/>
      <c r="AK149" s="119"/>
    </row>
    <row r="150" spans="1:37">
      <c r="A150" s="215"/>
      <c r="B150" s="122"/>
      <c r="C150" s="122"/>
      <c r="D150" s="131"/>
      <c r="E150" s="131"/>
      <c r="F150" s="216"/>
      <c r="G150" s="119"/>
      <c r="H150" s="119"/>
      <c r="I150" s="119"/>
      <c r="J150" s="119"/>
      <c r="K150" s="119"/>
      <c r="L150" s="119"/>
      <c r="M150" s="119"/>
      <c r="N150" s="550"/>
      <c r="O150" s="534" t="s">
        <v>560</v>
      </c>
      <c r="P150" s="534">
        <v>-1.2</v>
      </c>
      <c r="Q150" s="534">
        <v>-1.8</v>
      </c>
      <c r="R150" s="534">
        <v>-0.8</v>
      </c>
      <c r="S150" s="534">
        <v>-1.4</v>
      </c>
      <c r="T150" s="534">
        <v>-0.7</v>
      </c>
      <c r="U150" s="534">
        <v>-1.2</v>
      </c>
      <c r="V150" s="536" t="s">
        <v>552</v>
      </c>
      <c r="W150" s="530"/>
      <c r="X150" s="537">
        <f>IF(0.1&lt;=$Z$94,IF($Z$94&lt;0.125,1,0),0)</f>
        <v>0</v>
      </c>
      <c r="Y150" s="561">
        <f>IF($Z$95=1,IF($X$108=1,P150,0),0)</f>
        <v>0</v>
      </c>
      <c r="Z150" s="534">
        <f t="shared" ref="Z150:AD150" si="49">IF($Z$95=1,IF($X$108=1,Q150,0),0)</f>
        <v>0</v>
      </c>
      <c r="AA150" s="534">
        <f t="shared" si="49"/>
        <v>0</v>
      </c>
      <c r="AB150" s="534">
        <f t="shared" si="49"/>
        <v>0</v>
      </c>
      <c r="AC150" s="534">
        <f t="shared" si="49"/>
        <v>0</v>
      </c>
      <c r="AD150" s="534">
        <f t="shared" si="49"/>
        <v>0</v>
      </c>
      <c r="AE150" s="536">
        <f>IF($Z$95=1,IF(X150=1,V150,0),0)</f>
        <v>0</v>
      </c>
      <c r="AF150" s="530"/>
      <c r="AG150" s="119"/>
      <c r="AH150" s="119"/>
      <c r="AI150" s="119"/>
      <c r="AJ150" s="119"/>
      <c r="AK150" s="119"/>
    </row>
    <row r="151" spans="1:37">
      <c r="A151" s="215"/>
      <c r="B151" s="122"/>
      <c r="C151" s="122"/>
      <c r="D151" s="131"/>
      <c r="E151" s="131"/>
      <c r="F151" s="216"/>
      <c r="G151" s="119"/>
      <c r="H151" s="119"/>
      <c r="I151" s="119"/>
      <c r="J151" s="119"/>
      <c r="K151" s="119"/>
      <c r="L151" s="119"/>
      <c r="M151" s="119"/>
      <c r="N151" s="550"/>
      <c r="O151" s="540"/>
      <c r="P151" s="540"/>
      <c r="Q151" s="540"/>
      <c r="R151" s="540"/>
      <c r="S151" s="540"/>
      <c r="T151" s="540"/>
      <c r="U151" s="540"/>
      <c r="V151" s="536" t="s">
        <v>553</v>
      </c>
      <c r="W151" s="530"/>
      <c r="X151" s="537"/>
      <c r="Y151" s="562"/>
      <c r="Z151" s="540"/>
      <c r="AA151" s="540"/>
      <c r="AB151" s="540"/>
      <c r="AC151" s="540"/>
      <c r="AD151" s="540"/>
      <c r="AE151" s="536">
        <f>IF($Z$95=1,IF(X150=1,V151,0),0)</f>
        <v>0</v>
      </c>
      <c r="AF151" s="530"/>
      <c r="AG151" s="119"/>
      <c r="AH151" s="119"/>
      <c r="AI151" s="119"/>
      <c r="AJ151" s="119"/>
      <c r="AK151" s="119"/>
    </row>
    <row r="152" spans="1:37">
      <c r="A152" s="215"/>
      <c r="B152" s="122"/>
      <c r="C152" s="122"/>
      <c r="D152" s="131"/>
      <c r="E152" s="131"/>
      <c r="F152" s="216"/>
      <c r="G152" s="119"/>
      <c r="H152" s="119"/>
      <c r="I152" s="119"/>
      <c r="J152" s="119"/>
      <c r="K152" s="119"/>
      <c r="L152" s="119"/>
      <c r="M152" s="119"/>
      <c r="N152" s="550"/>
      <c r="O152" s="534" t="s">
        <v>561</v>
      </c>
      <c r="P152" s="534">
        <f>P150+(P148-P146)</f>
        <v>-1.0999999999999999</v>
      </c>
      <c r="Q152" s="534">
        <f t="shared" ref="Q152:U152" si="50">Q150+(Q148-Q146)</f>
        <v>-1.7</v>
      </c>
      <c r="R152" s="534">
        <f t="shared" si="50"/>
        <v>-0.75000000000000011</v>
      </c>
      <c r="S152" s="534">
        <f t="shared" si="50"/>
        <v>-1.2999999999999998</v>
      </c>
      <c r="T152" s="534">
        <f t="shared" si="50"/>
        <v>-0.7</v>
      </c>
      <c r="U152" s="534">
        <f t="shared" si="50"/>
        <v>-1.2</v>
      </c>
      <c r="V152" s="536" t="s">
        <v>552</v>
      </c>
      <c r="W152" s="530"/>
      <c r="X152" s="537">
        <f>IF(0.125&lt;=$Z$94,IF($Z$94&lt;10,1,0),0)</f>
        <v>0</v>
      </c>
      <c r="Y152" s="561">
        <f>IF($Z$95=1,IF($X$110=1,P152,0),0)</f>
        <v>0</v>
      </c>
      <c r="Z152" s="534">
        <f t="shared" ref="Z152:AD152" si="51">IF($Z$95=1,IF($X$110=1,Q152,0),0)</f>
        <v>0</v>
      </c>
      <c r="AA152" s="534">
        <f t="shared" si="51"/>
        <v>0</v>
      </c>
      <c r="AB152" s="534">
        <f t="shared" si="51"/>
        <v>0</v>
      </c>
      <c r="AC152" s="534">
        <f t="shared" si="51"/>
        <v>0</v>
      </c>
      <c r="AD152" s="534">
        <f t="shared" si="51"/>
        <v>0</v>
      </c>
      <c r="AE152" s="536">
        <f>IF($Z$95=1,IF(X152=1,V152,0),0)</f>
        <v>0</v>
      </c>
      <c r="AF152" s="530"/>
      <c r="AG152" s="119"/>
      <c r="AH152" s="119"/>
      <c r="AI152" s="119"/>
      <c r="AJ152" s="119"/>
      <c r="AK152" s="119"/>
    </row>
    <row r="153" spans="1:37" ht="15.75" thickBot="1">
      <c r="A153" s="215"/>
      <c r="B153" s="122"/>
      <c r="C153" s="122"/>
      <c r="D153" s="131"/>
      <c r="E153" s="131"/>
      <c r="F153" s="216"/>
      <c r="G153" s="119"/>
      <c r="H153" s="119"/>
      <c r="I153" s="119"/>
      <c r="J153" s="119"/>
      <c r="K153" s="119"/>
      <c r="L153" s="119"/>
      <c r="M153" s="119"/>
      <c r="N153" s="551"/>
      <c r="O153" s="535"/>
      <c r="P153" s="535"/>
      <c r="Q153" s="535"/>
      <c r="R153" s="535"/>
      <c r="S153" s="535"/>
      <c r="T153" s="535"/>
      <c r="U153" s="535"/>
      <c r="V153" s="531" t="s">
        <v>553</v>
      </c>
      <c r="W153" s="532"/>
      <c r="X153" s="537"/>
      <c r="Y153" s="551"/>
      <c r="Z153" s="535"/>
      <c r="AA153" s="535"/>
      <c r="AB153" s="535"/>
      <c r="AC153" s="535"/>
      <c r="AD153" s="535"/>
      <c r="AE153" s="531">
        <f>IF($Z$95=1,IF(X152=1,V153,0),0)</f>
        <v>0</v>
      </c>
      <c r="AF153" s="532"/>
      <c r="AG153" s="119"/>
      <c r="AH153" s="119"/>
      <c r="AI153" s="119"/>
      <c r="AJ153" s="119"/>
      <c r="AK153" s="119"/>
    </row>
    <row r="154" spans="1:37">
      <c r="A154" s="215"/>
      <c r="B154" s="122"/>
      <c r="C154" s="122"/>
      <c r="D154" s="131"/>
      <c r="E154" s="131"/>
      <c r="F154" s="216"/>
      <c r="G154" s="119"/>
      <c r="H154" s="119"/>
      <c r="I154" s="119"/>
      <c r="J154" s="119"/>
      <c r="K154" s="119"/>
      <c r="L154" s="119"/>
      <c r="M154" s="119"/>
      <c r="N154" s="549" t="s">
        <v>534</v>
      </c>
      <c r="O154" s="546" t="s">
        <v>562</v>
      </c>
      <c r="P154" s="546">
        <f>P156+(P158-P160)</f>
        <v>-1.1499999999999999</v>
      </c>
      <c r="Q154" s="546">
        <f t="shared" ref="Q154:U154" si="52">Q156+(Q158-Q160)</f>
        <v>-1.6500000000000001</v>
      </c>
      <c r="R154" s="546">
        <f t="shared" si="52"/>
        <v>-1.4</v>
      </c>
      <c r="S154" s="546">
        <f t="shared" si="52"/>
        <v>-2</v>
      </c>
      <c r="T154" s="546">
        <f t="shared" si="52"/>
        <v>-0.45</v>
      </c>
      <c r="U154" s="546">
        <f t="shared" si="52"/>
        <v>-0.45</v>
      </c>
      <c r="V154" s="547" t="s">
        <v>552</v>
      </c>
      <c r="W154" s="545"/>
      <c r="X154" s="537">
        <f>IF(0&lt;=$Y$94,IF($Y$94&lt;0.05,1,0),0)</f>
        <v>1</v>
      </c>
      <c r="Y154" s="548">
        <f>IF($Y$95=1,IF($X$112=1,P154,0),0)</f>
        <v>0</v>
      </c>
      <c r="Z154" s="543">
        <f t="shared" ref="Z154:AD154" si="53">IF($Y$95=1,IF($X$112=1,Q154,0),0)</f>
        <v>0</v>
      </c>
      <c r="AA154" s="543">
        <f t="shared" si="53"/>
        <v>0</v>
      </c>
      <c r="AB154" s="543">
        <f t="shared" si="53"/>
        <v>0</v>
      </c>
      <c r="AC154" s="543">
        <f t="shared" si="53"/>
        <v>0</v>
      </c>
      <c r="AD154" s="543">
        <f t="shared" si="53"/>
        <v>0</v>
      </c>
      <c r="AE154" s="559">
        <f>IF($Y$95=1,IF(X154=1,V154,0),0)</f>
        <v>0</v>
      </c>
      <c r="AF154" s="560"/>
      <c r="AG154" s="119"/>
      <c r="AH154" s="119"/>
      <c r="AI154" s="119"/>
      <c r="AJ154" s="119"/>
      <c r="AK154" s="119"/>
    </row>
    <row r="155" spans="1:37">
      <c r="A155" s="215"/>
      <c r="B155" s="122"/>
      <c r="C155" s="122"/>
      <c r="D155" s="131"/>
      <c r="E155" s="131"/>
      <c r="F155" s="216"/>
      <c r="G155" s="119"/>
      <c r="H155" s="119"/>
      <c r="I155" s="119"/>
      <c r="J155" s="119"/>
      <c r="K155" s="119"/>
      <c r="L155" s="119"/>
      <c r="M155" s="119"/>
      <c r="N155" s="550"/>
      <c r="O155" s="540"/>
      <c r="P155" s="540"/>
      <c r="Q155" s="540"/>
      <c r="R155" s="540"/>
      <c r="S155" s="540"/>
      <c r="T155" s="540"/>
      <c r="U155" s="540"/>
      <c r="V155" s="536" t="s">
        <v>553</v>
      </c>
      <c r="W155" s="530"/>
      <c r="X155" s="537"/>
      <c r="Y155" s="538"/>
      <c r="Z155" s="527"/>
      <c r="AA155" s="527"/>
      <c r="AB155" s="527"/>
      <c r="AC155" s="527"/>
      <c r="AD155" s="527"/>
      <c r="AE155" s="552">
        <f>IF($Y$95=1,IF(X154=1,V155,0),0)</f>
        <v>0</v>
      </c>
      <c r="AF155" s="553"/>
      <c r="AG155" s="119"/>
      <c r="AH155" s="119"/>
      <c r="AI155" s="119"/>
      <c r="AJ155" s="119"/>
      <c r="AK155" s="119"/>
    </row>
    <row r="156" spans="1:37">
      <c r="A156" s="215"/>
      <c r="B156" s="122"/>
      <c r="C156" s="122"/>
      <c r="D156" s="131"/>
      <c r="E156" s="131"/>
      <c r="F156" s="216"/>
      <c r="G156" s="119"/>
      <c r="H156" s="119"/>
      <c r="I156" s="119"/>
      <c r="J156" s="119"/>
      <c r="K156" s="119"/>
      <c r="L156" s="119"/>
      <c r="M156" s="119"/>
      <c r="N156" s="550"/>
      <c r="O156" s="534" t="s">
        <v>563</v>
      </c>
      <c r="P156" s="534">
        <v>-1</v>
      </c>
      <c r="Q156" s="534">
        <v>-1.5</v>
      </c>
      <c r="R156" s="534">
        <v>-1.2</v>
      </c>
      <c r="S156" s="534">
        <v>-1.8</v>
      </c>
      <c r="T156" s="541">
        <v>-0.4</v>
      </c>
      <c r="U156" s="541">
        <v>-0.4</v>
      </c>
      <c r="V156" s="536" t="s">
        <v>552</v>
      </c>
      <c r="W156" s="530"/>
      <c r="X156" s="537">
        <f>IF(0.05&lt;=$Y$94,IF($Y$94&lt;0.075,1,0),0)</f>
        <v>0</v>
      </c>
      <c r="Y156" s="538">
        <f>IF($Y$95=1,IF($X$114=1,P156,0),0)</f>
        <v>0</v>
      </c>
      <c r="Z156" s="527">
        <f t="shared" ref="Z156:AD156" si="54">IF($Y$95=1,IF($X$114=1,Q156,0),0)</f>
        <v>0</v>
      </c>
      <c r="AA156" s="527">
        <f t="shared" si="54"/>
        <v>0</v>
      </c>
      <c r="AB156" s="527">
        <f t="shared" si="54"/>
        <v>0</v>
      </c>
      <c r="AC156" s="527">
        <f t="shared" si="54"/>
        <v>0</v>
      </c>
      <c r="AD156" s="527">
        <f t="shared" si="54"/>
        <v>0</v>
      </c>
      <c r="AE156" s="552">
        <f>IF($Y$95=1,IF(X156=1,V156,0),0)</f>
        <v>0</v>
      </c>
      <c r="AF156" s="553"/>
      <c r="AG156" s="119"/>
      <c r="AH156" s="119"/>
      <c r="AI156" s="119"/>
      <c r="AJ156" s="119"/>
      <c r="AK156" s="119"/>
    </row>
    <row r="157" spans="1:37">
      <c r="A157" s="215"/>
      <c r="B157" s="122"/>
      <c r="C157" s="122"/>
      <c r="D157" s="131"/>
      <c r="E157" s="131"/>
      <c r="F157" s="216"/>
      <c r="G157" s="119"/>
      <c r="H157" s="119"/>
      <c r="I157" s="119"/>
      <c r="J157" s="119"/>
      <c r="K157" s="119"/>
      <c r="L157" s="119"/>
      <c r="M157" s="119"/>
      <c r="N157" s="550"/>
      <c r="O157" s="540"/>
      <c r="P157" s="540"/>
      <c r="Q157" s="540"/>
      <c r="R157" s="540"/>
      <c r="S157" s="540"/>
      <c r="T157" s="542"/>
      <c r="U157" s="542"/>
      <c r="V157" s="536" t="s">
        <v>553</v>
      </c>
      <c r="W157" s="530"/>
      <c r="X157" s="537"/>
      <c r="Y157" s="538"/>
      <c r="Z157" s="527"/>
      <c r="AA157" s="527"/>
      <c r="AB157" s="527"/>
      <c r="AC157" s="527"/>
      <c r="AD157" s="527"/>
      <c r="AE157" s="552">
        <f>IF($Y$95=1,IF(X156=1,V157,0),0)</f>
        <v>0</v>
      </c>
      <c r="AF157" s="553"/>
      <c r="AG157" s="119"/>
      <c r="AH157" s="119"/>
      <c r="AI157" s="119"/>
      <c r="AJ157" s="119"/>
      <c r="AK157" s="119"/>
    </row>
    <row r="158" spans="1:37">
      <c r="A158" s="215"/>
      <c r="B158" s="122"/>
      <c r="C158" s="122"/>
      <c r="D158" s="131"/>
      <c r="E158" s="131"/>
      <c r="F158" s="216"/>
      <c r="G158" s="119"/>
      <c r="H158" s="119"/>
      <c r="I158" s="119"/>
      <c r="J158" s="119"/>
      <c r="K158" s="119"/>
      <c r="L158" s="119"/>
      <c r="M158" s="119"/>
      <c r="N158" s="550"/>
      <c r="O158" s="534" t="s">
        <v>564</v>
      </c>
      <c r="P158" s="534">
        <f>(P160+P156)/2</f>
        <v>-0.85</v>
      </c>
      <c r="Q158" s="534">
        <f t="shared" ref="Q158:U158" si="55">(Q160+Q156)/2</f>
        <v>-1.35</v>
      </c>
      <c r="R158" s="534">
        <f t="shared" si="55"/>
        <v>-1</v>
      </c>
      <c r="S158" s="534">
        <f t="shared" si="55"/>
        <v>-1.6</v>
      </c>
      <c r="T158" s="534">
        <f t="shared" si="55"/>
        <v>-0.35</v>
      </c>
      <c r="U158" s="534">
        <f t="shared" si="55"/>
        <v>-0.35</v>
      </c>
      <c r="V158" s="536" t="s">
        <v>552</v>
      </c>
      <c r="W158" s="530"/>
      <c r="X158" s="537">
        <f>IF(0.075&lt;=$Y$94,IF($Y$94&lt;0.1,1,0),0)</f>
        <v>0</v>
      </c>
      <c r="Y158" s="538">
        <f>IF($Y$95=1,IF($X$1116=1,P158,0),0)</f>
        <v>0</v>
      </c>
      <c r="Z158" s="527">
        <f t="shared" ref="Z158:AD158" si="56">IF($Y$95=1,IF($X$1116=1,Q158,0),0)</f>
        <v>0</v>
      </c>
      <c r="AA158" s="527">
        <f t="shared" si="56"/>
        <v>0</v>
      </c>
      <c r="AB158" s="527">
        <f t="shared" si="56"/>
        <v>0</v>
      </c>
      <c r="AC158" s="527">
        <f t="shared" si="56"/>
        <v>0</v>
      </c>
      <c r="AD158" s="527">
        <f t="shared" si="56"/>
        <v>0</v>
      </c>
      <c r="AE158" s="552">
        <f>IF($Y$95=1,IF(X158=1,V158,0),0)</f>
        <v>0</v>
      </c>
      <c r="AF158" s="553"/>
      <c r="AG158" s="119"/>
      <c r="AH158" s="119"/>
      <c r="AI158" s="119"/>
      <c r="AJ158" s="119"/>
      <c r="AK158" s="119"/>
    </row>
    <row r="159" spans="1:37">
      <c r="A159" s="215"/>
      <c r="B159" s="122"/>
      <c r="C159" s="122"/>
      <c r="D159" s="131"/>
      <c r="E159" s="131"/>
      <c r="F159" s="216"/>
      <c r="G159" s="119"/>
      <c r="H159" s="119"/>
      <c r="I159" s="119"/>
      <c r="J159" s="119"/>
      <c r="K159" s="119"/>
      <c r="L159" s="119"/>
      <c r="M159" s="119"/>
      <c r="N159" s="550"/>
      <c r="O159" s="540"/>
      <c r="P159" s="540"/>
      <c r="Q159" s="540"/>
      <c r="R159" s="540"/>
      <c r="S159" s="540"/>
      <c r="T159" s="540"/>
      <c r="U159" s="540"/>
      <c r="V159" s="536" t="s">
        <v>553</v>
      </c>
      <c r="W159" s="530"/>
      <c r="X159" s="537"/>
      <c r="Y159" s="538"/>
      <c r="Z159" s="527"/>
      <c r="AA159" s="527"/>
      <c r="AB159" s="527"/>
      <c r="AC159" s="527"/>
      <c r="AD159" s="527"/>
      <c r="AE159" s="552">
        <f>IF($Y$95=1,IF(X158=1,V159,0),0)</f>
        <v>0</v>
      </c>
      <c r="AF159" s="553"/>
      <c r="AG159" s="119"/>
      <c r="AH159" s="119"/>
      <c r="AI159" s="119"/>
      <c r="AJ159" s="119"/>
      <c r="AK159" s="119"/>
    </row>
    <row r="160" spans="1:37">
      <c r="A160" s="215"/>
      <c r="B160" s="122"/>
      <c r="C160" s="122"/>
      <c r="D160" s="131"/>
      <c r="E160" s="131"/>
      <c r="F160" s="216"/>
      <c r="G160" s="119"/>
      <c r="H160" s="119"/>
      <c r="I160" s="119"/>
      <c r="J160" s="119"/>
      <c r="K160" s="119"/>
      <c r="L160" s="119"/>
      <c r="M160" s="119"/>
      <c r="N160" s="550"/>
      <c r="O160" s="534" t="s">
        <v>565</v>
      </c>
      <c r="P160" s="534">
        <v>-0.7</v>
      </c>
      <c r="Q160" s="534">
        <v>-1.2</v>
      </c>
      <c r="R160" s="534">
        <v>-0.8</v>
      </c>
      <c r="S160" s="534">
        <v>-1.4</v>
      </c>
      <c r="T160" s="541">
        <v>-0.3</v>
      </c>
      <c r="U160" s="541">
        <v>-0.3</v>
      </c>
      <c r="V160" s="536" t="s">
        <v>552</v>
      </c>
      <c r="W160" s="530"/>
      <c r="X160" s="537">
        <f>IF(0.1&lt;=$Y$94,IF($Y$94&lt;0.15,1,0),0)</f>
        <v>0</v>
      </c>
      <c r="Y160" s="538">
        <f>IF($Y$95=1,IF($X$118=1,P160,0),0)</f>
        <v>0</v>
      </c>
      <c r="Z160" s="527">
        <f t="shared" ref="Z160:AD160" si="57">IF($Y$95=1,IF($X$118=1,Q160,0),0)</f>
        <v>0</v>
      </c>
      <c r="AA160" s="527">
        <f t="shared" si="57"/>
        <v>0</v>
      </c>
      <c r="AB160" s="527">
        <f t="shared" si="57"/>
        <v>0</v>
      </c>
      <c r="AC160" s="527">
        <f t="shared" si="57"/>
        <v>0</v>
      </c>
      <c r="AD160" s="527">
        <f t="shared" si="57"/>
        <v>0</v>
      </c>
      <c r="AE160" s="552">
        <f>IF($Y$95=1,IF(X160=1,V160,0),0)</f>
        <v>0</v>
      </c>
      <c r="AF160" s="553"/>
      <c r="AG160" s="119"/>
      <c r="AH160" s="119"/>
      <c r="AI160" s="119"/>
      <c r="AJ160" s="119"/>
      <c r="AK160" s="119"/>
    </row>
    <row r="161" spans="1:37">
      <c r="A161" s="215"/>
      <c r="B161" s="122"/>
      <c r="C161" s="122"/>
      <c r="D161" s="131"/>
      <c r="E161" s="131"/>
      <c r="F161" s="216"/>
      <c r="G161" s="119"/>
      <c r="H161" s="119"/>
      <c r="I161" s="119"/>
      <c r="J161" s="119"/>
      <c r="K161" s="119"/>
      <c r="L161" s="119"/>
      <c r="M161" s="119"/>
      <c r="N161" s="550"/>
      <c r="O161" s="540"/>
      <c r="P161" s="540"/>
      <c r="Q161" s="540"/>
      <c r="R161" s="540"/>
      <c r="S161" s="540"/>
      <c r="T161" s="542"/>
      <c r="U161" s="542"/>
      <c r="V161" s="536" t="s">
        <v>553</v>
      </c>
      <c r="W161" s="530"/>
      <c r="X161" s="537"/>
      <c r="Y161" s="538"/>
      <c r="Z161" s="527"/>
      <c r="AA161" s="527"/>
      <c r="AB161" s="527"/>
      <c r="AC161" s="527"/>
      <c r="AD161" s="527"/>
      <c r="AE161" s="552">
        <f>IF($Y$95=1,IF(X160=1,V161,0),0)</f>
        <v>0</v>
      </c>
      <c r="AF161" s="553"/>
      <c r="AG161" s="119"/>
      <c r="AH161" s="119"/>
      <c r="AI161" s="119"/>
      <c r="AJ161" s="119"/>
      <c r="AK161" s="119"/>
    </row>
    <row r="162" spans="1:37">
      <c r="A162" s="215"/>
      <c r="B162" s="122"/>
      <c r="C162" s="122"/>
      <c r="D162" s="131"/>
      <c r="E162" s="131"/>
      <c r="F162" s="216"/>
      <c r="G162" s="119"/>
      <c r="H162" s="119"/>
      <c r="I162" s="119"/>
      <c r="J162" s="119"/>
      <c r="K162" s="119"/>
      <c r="L162" s="119"/>
      <c r="M162" s="119"/>
      <c r="N162" s="550"/>
      <c r="O162" s="534" t="s">
        <v>566</v>
      </c>
      <c r="P162" s="534">
        <f>(P164+P160)/2</f>
        <v>-0.6</v>
      </c>
      <c r="Q162" s="534">
        <f t="shared" ref="Q162:U162" si="58">(Q164+Q160)/2</f>
        <v>-1</v>
      </c>
      <c r="R162" s="534">
        <f t="shared" si="58"/>
        <v>-0.65</v>
      </c>
      <c r="S162" s="534">
        <f t="shared" si="58"/>
        <v>-1.1000000000000001</v>
      </c>
      <c r="T162" s="534">
        <f t="shared" si="58"/>
        <v>-0.3</v>
      </c>
      <c r="U162" s="534">
        <f t="shared" si="58"/>
        <v>-0.3</v>
      </c>
      <c r="V162" s="536" t="s">
        <v>552</v>
      </c>
      <c r="W162" s="530"/>
      <c r="X162" s="537">
        <f>IF(0.15&lt;=$Y$94,IF($Y$94&lt;0.2,1,0),0)</f>
        <v>0</v>
      </c>
      <c r="Y162" s="538">
        <f>IF($Y$95=1,IF($X$120=1,P162,0),0)</f>
        <v>0</v>
      </c>
      <c r="Z162" s="527">
        <f t="shared" ref="Z162:AD162" si="59">IF($Y$95=1,IF($X$120=1,Q162,0),0)</f>
        <v>0</v>
      </c>
      <c r="AA162" s="527">
        <f t="shared" si="59"/>
        <v>0</v>
      </c>
      <c r="AB162" s="527">
        <f t="shared" si="59"/>
        <v>0</v>
      </c>
      <c r="AC162" s="527">
        <f t="shared" si="59"/>
        <v>0</v>
      </c>
      <c r="AD162" s="527">
        <f t="shared" si="59"/>
        <v>0</v>
      </c>
      <c r="AE162" s="552">
        <f>IF($Y$95=1,IF(X162=1,V162,0),0)</f>
        <v>0</v>
      </c>
      <c r="AF162" s="553"/>
      <c r="AG162" s="119"/>
      <c r="AH162" s="119"/>
      <c r="AI162" s="119"/>
      <c r="AJ162" s="119"/>
      <c r="AK162" s="119"/>
    </row>
    <row r="163" spans="1:37">
      <c r="A163" s="215"/>
      <c r="B163" s="122"/>
      <c r="C163" s="122"/>
      <c r="D163" s="131"/>
      <c r="E163" s="131"/>
      <c r="F163" s="216"/>
      <c r="G163" s="119"/>
      <c r="H163" s="119"/>
      <c r="I163" s="119"/>
      <c r="J163" s="119"/>
      <c r="K163" s="119"/>
      <c r="L163" s="119"/>
      <c r="M163" s="119"/>
      <c r="N163" s="550"/>
      <c r="O163" s="540"/>
      <c r="P163" s="540"/>
      <c r="Q163" s="540"/>
      <c r="R163" s="540"/>
      <c r="S163" s="540"/>
      <c r="T163" s="540"/>
      <c r="U163" s="540"/>
      <c r="V163" s="536" t="s">
        <v>553</v>
      </c>
      <c r="W163" s="530"/>
      <c r="X163" s="537"/>
      <c r="Y163" s="538"/>
      <c r="Z163" s="527"/>
      <c r="AA163" s="527"/>
      <c r="AB163" s="527"/>
      <c r="AC163" s="527"/>
      <c r="AD163" s="527"/>
      <c r="AE163" s="552">
        <f>IF($Y$95=1,IF(X162=1,V163,0),0)</f>
        <v>0</v>
      </c>
      <c r="AF163" s="553"/>
      <c r="AG163" s="119"/>
      <c r="AH163" s="119"/>
      <c r="AI163" s="119"/>
      <c r="AJ163" s="119"/>
      <c r="AK163" s="119"/>
    </row>
    <row r="164" spans="1:37">
      <c r="A164" s="215"/>
      <c r="B164" s="122"/>
      <c r="C164" s="122"/>
      <c r="D164" s="131"/>
      <c r="E164" s="131"/>
      <c r="F164" s="216"/>
      <c r="G164" s="119"/>
      <c r="H164" s="119"/>
      <c r="I164" s="119"/>
      <c r="J164" s="119"/>
      <c r="K164" s="119"/>
      <c r="L164" s="119"/>
      <c r="M164" s="119"/>
      <c r="N164" s="550"/>
      <c r="O164" s="534" t="s">
        <v>567</v>
      </c>
      <c r="P164" s="534">
        <v>-0.5</v>
      </c>
      <c r="Q164" s="534">
        <v>-0.8</v>
      </c>
      <c r="R164" s="534">
        <v>-0.5</v>
      </c>
      <c r="S164" s="534">
        <v>-0.8</v>
      </c>
      <c r="T164" s="541">
        <v>-0.3</v>
      </c>
      <c r="U164" s="541">
        <v>-0.3</v>
      </c>
      <c r="V164" s="536" t="s">
        <v>552</v>
      </c>
      <c r="W164" s="530"/>
      <c r="X164" s="537">
        <f>IF(0.2&lt;=$Y$94,IF($Y$94&lt;0.25,1,0),0)</f>
        <v>0</v>
      </c>
      <c r="Y164" s="538">
        <f>IF($Y$95=1,IF($X$122=1,P164,0),0)</f>
        <v>0</v>
      </c>
      <c r="Z164" s="527">
        <f t="shared" ref="Z164:AD164" si="60">IF($Y$95=1,IF($X$122=1,Q164,0),0)</f>
        <v>0</v>
      </c>
      <c r="AA164" s="527">
        <f t="shared" si="60"/>
        <v>0</v>
      </c>
      <c r="AB164" s="527">
        <f t="shared" si="60"/>
        <v>0</v>
      </c>
      <c r="AC164" s="527">
        <f t="shared" si="60"/>
        <v>0</v>
      </c>
      <c r="AD164" s="527">
        <f t="shared" si="60"/>
        <v>0</v>
      </c>
      <c r="AE164" s="552">
        <f>IF($Y$95=1,IF(X164=1,V164,0),0)</f>
        <v>0</v>
      </c>
      <c r="AF164" s="553"/>
      <c r="AG164" s="119"/>
      <c r="AH164" s="119"/>
      <c r="AI164" s="119"/>
      <c r="AJ164" s="119"/>
      <c r="AK164" s="119"/>
    </row>
    <row r="165" spans="1:37">
      <c r="A165" s="215"/>
      <c r="B165" s="122"/>
      <c r="C165" s="122"/>
      <c r="D165" s="131"/>
      <c r="E165" s="131"/>
      <c r="F165" s="216"/>
      <c r="G165" s="119"/>
      <c r="H165" s="119"/>
      <c r="I165" s="119"/>
      <c r="J165" s="119"/>
      <c r="K165" s="119"/>
      <c r="L165" s="119"/>
      <c r="M165" s="119"/>
      <c r="N165" s="550"/>
      <c r="O165" s="540"/>
      <c r="P165" s="540"/>
      <c r="Q165" s="540"/>
      <c r="R165" s="540"/>
      <c r="S165" s="540"/>
      <c r="T165" s="542"/>
      <c r="U165" s="542"/>
      <c r="V165" s="536" t="s">
        <v>553</v>
      </c>
      <c r="W165" s="530"/>
      <c r="X165" s="537"/>
      <c r="Y165" s="538"/>
      <c r="Z165" s="527"/>
      <c r="AA165" s="527"/>
      <c r="AB165" s="527"/>
      <c r="AC165" s="527"/>
      <c r="AD165" s="527"/>
      <c r="AE165" s="552">
        <f>IF($Y$95=1,IF(X164=1,V165,0),0)</f>
        <v>0</v>
      </c>
      <c r="AF165" s="553"/>
      <c r="AG165" s="119"/>
      <c r="AH165" s="119"/>
      <c r="AI165" s="119"/>
      <c r="AJ165" s="119"/>
      <c r="AK165" s="119"/>
    </row>
    <row r="166" spans="1:37">
      <c r="A166" s="215"/>
      <c r="B166" s="122"/>
      <c r="C166" s="122"/>
      <c r="D166" s="131"/>
      <c r="E166" s="131"/>
      <c r="F166" s="216"/>
      <c r="G166" s="119"/>
      <c r="H166" s="119"/>
      <c r="I166" s="119"/>
      <c r="J166" s="119"/>
      <c r="K166" s="119"/>
      <c r="L166" s="119"/>
      <c r="M166" s="119"/>
      <c r="N166" s="550"/>
      <c r="O166" s="534" t="s">
        <v>568</v>
      </c>
      <c r="P166" s="534">
        <f>P164+(P162-P160)</f>
        <v>-0.4</v>
      </c>
      <c r="Q166" s="534">
        <f t="shared" ref="Q166:U166" si="61">Q164+(Q162-Q160)</f>
        <v>-0.60000000000000009</v>
      </c>
      <c r="R166" s="534">
        <f t="shared" si="61"/>
        <v>-0.35</v>
      </c>
      <c r="S166" s="534">
        <f t="shared" si="61"/>
        <v>-0.50000000000000022</v>
      </c>
      <c r="T166" s="534">
        <f t="shared" si="61"/>
        <v>-0.3</v>
      </c>
      <c r="U166" s="534">
        <f t="shared" si="61"/>
        <v>-0.3</v>
      </c>
      <c r="V166" s="536" t="s">
        <v>552</v>
      </c>
      <c r="W166" s="530"/>
      <c r="X166" s="537">
        <f>IF(0.25&lt;=$Y$94,IF($Y$94&lt;10,1,0),0)</f>
        <v>0</v>
      </c>
      <c r="Y166" s="538">
        <f>IF($Y$95=1,IF($X$124=1,P166,0),0)</f>
        <v>0</v>
      </c>
      <c r="Z166" s="527">
        <f t="shared" ref="Z166:AD166" si="62">IF($Y$95=1,IF($X$124=1,Q166,0),0)</f>
        <v>0</v>
      </c>
      <c r="AA166" s="527">
        <f t="shared" si="62"/>
        <v>0</v>
      </c>
      <c r="AB166" s="527">
        <f t="shared" si="62"/>
        <v>0</v>
      </c>
      <c r="AC166" s="527">
        <f t="shared" si="62"/>
        <v>0</v>
      </c>
      <c r="AD166" s="527">
        <f t="shared" si="62"/>
        <v>0</v>
      </c>
      <c r="AE166" s="552">
        <f>IF($Y$95=1,IF(X166=1,V166,0),0)</f>
        <v>0</v>
      </c>
      <c r="AF166" s="553"/>
      <c r="AG166" s="119"/>
      <c r="AH166" s="119"/>
      <c r="AI166" s="119"/>
      <c r="AJ166" s="119"/>
      <c r="AK166" s="119"/>
    </row>
    <row r="167" spans="1:37" ht="15.75" thickBot="1">
      <c r="A167" s="215"/>
      <c r="B167" s="122"/>
      <c r="C167" s="122"/>
      <c r="D167" s="131"/>
      <c r="E167" s="131"/>
      <c r="F167" s="216"/>
      <c r="G167" s="119"/>
      <c r="H167" s="119"/>
      <c r="I167" s="119"/>
      <c r="J167" s="119"/>
      <c r="K167" s="119"/>
      <c r="L167" s="119"/>
      <c r="M167" s="119"/>
      <c r="N167" s="550"/>
      <c r="O167" s="558"/>
      <c r="P167" s="558"/>
      <c r="Q167" s="558"/>
      <c r="R167" s="558"/>
      <c r="S167" s="558"/>
      <c r="T167" s="558"/>
      <c r="U167" s="558"/>
      <c r="V167" s="554" t="s">
        <v>553</v>
      </c>
      <c r="W167" s="555"/>
      <c r="X167" s="537"/>
      <c r="Y167" s="539"/>
      <c r="Z167" s="528"/>
      <c r="AA167" s="528"/>
      <c r="AB167" s="528"/>
      <c r="AC167" s="528"/>
      <c r="AD167" s="528"/>
      <c r="AE167" s="556">
        <f>IF($Y$95=1,IF(X166=1,V167,0),0)</f>
        <v>0</v>
      </c>
      <c r="AF167" s="557"/>
      <c r="AG167" s="119"/>
      <c r="AH167" s="119"/>
      <c r="AI167" s="119"/>
      <c r="AJ167" s="119"/>
      <c r="AK167" s="119"/>
    </row>
    <row r="168" spans="1:37">
      <c r="A168" s="215"/>
      <c r="B168" s="122"/>
      <c r="C168" s="122"/>
      <c r="D168" s="131"/>
      <c r="E168" s="131"/>
      <c r="F168" s="216"/>
      <c r="G168" s="119"/>
      <c r="H168" s="119"/>
      <c r="I168" s="119"/>
      <c r="J168" s="119"/>
      <c r="K168" s="119"/>
      <c r="L168" s="119"/>
      <c r="M168" s="119"/>
      <c r="N168" s="549" t="s">
        <v>537</v>
      </c>
      <c r="O168" s="546" t="s">
        <v>569</v>
      </c>
      <c r="P168" s="546">
        <f>P170+(P172-P174)</f>
        <v>-0.90000000000000013</v>
      </c>
      <c r="Q168" s="546">
        <f t="shared" ref="Q168:U168" si="63">Q170+(Q172-Q174)</f>
        <v>-1.3499999999999999</v>
      </c>
      <c r="R168" s="546">
        <f t="shared" si="63"/>
        <v>-0.84999999999999987</v>
      </c>
      <c r="S168" s="546">
        <f t="shared" si="63"/>
        <v>-1.3</v>
      </c>
      <c r="T168" s="546">
        <f t="shared" si="63"/>
        <v>-0.24999999999999994</v>
      </c>
      <c r="U168" s="546">
        <f t="shared" si="63"/>
        <v>-0.24999999999999994</v>
      </c>
      <c r="V168" s="547" t="s">
        <v>552</v>
      </c>
      <c r="W168" s="545"/>
      <c r="X168" s="537">
        <f>IF(0&lt;=$AA$94,IF($AA$94&lt;22.5,1,0),0)</f>
        <v>1</v>
      </c>
      <c r="Y168" s="548">
        <f>IF($AA$95=1,IF($X$126=1,P168,0),0)</f>
        <v>0</v>
      </c>
      <c r="Z168" s="543">
        <f t="shared" ref="Z168:AD168" si="64">IF($AA$95=1,IF($X$126=1,Q168,0),0)</f>
        <v>0</v>
      </c>
      <c r="AA168" s="543">
        <f t="shared" si="64"/>
        <v>0</v>
      </c>
      <c r="AB168" s="543">
        <f t="shared" si="64"/>
        <v>0</v>
      </c>
      <c r="AC168" s="543">
        <f t="shared" si="64"/>
        <v>0</v>
      </c>
      <c r="AD168" s="543">
        <f t="shared" si="64"/>
        <v>0</v>
      </c>
      <c r="AE168" s="544">
        <f>IF($AA$95=1,IF(X168=1,V168,0),0)</f>
        <v>0</v>
      </c>
      <c r="AF168" s="545"/>
      <c r="AG168" s="119"/>
      <c r="AH168" s="119"/>
      <c r="AI168" s="119"/>
      <c r="AJ168" s="119"/>
      <c r="AK168" s="119"/>
    </row>
    <row r="169" spans="1:37">
      <c r="A169" s="215"/>
      <c r="B169" s="122"/>
      <c r="C169" s="122"/>
      <c r="D169" s="131"/>
      <c r="E169" s="131"/>
      <c r="F169" s="216"/>
      <c r="G169" s="119"/>
      <c r="H169" s="119"/>
      <c r="I169" s="119"/>
      <c r="J169" s="119"/>
      <c r="K169" s="119"/>
      <c r="L169" s="119"/>
      <c r="M169" s="119"/>
      <c r="N169" s="550"/>
      <c r="O169" s="540"/>
      <c r="P169" s="540"/>
      <c r="Q169" s="540"/>
      <c r="R169" s="540"/>
      <c r="S169" s="540"/>
      <c r="T169" s="540"/>
      <c r="U169" s="540"/>
      <c r="V169" s="536" t="s">
        <v>553</v>
      </c>
      <c r="W169" s="530"/>
      <c r="X169" s="537"/>
      <c r="Y169" s="538"/>
      <c r="Z169" s="527"/>
      <c r="AA169" s="527"/>
      <c r="AB169" s="527"/>
      <c r="AC169" s="527"/>
      <c r="AD169" s="527"/>
      <c r="AE169" s="529">
        <f>IF($AA$95=1,IF(X168=1,V169,0),0)</f>
        <v>0</v>
      </c>
      <c r="AF169" s="530"/>
      <c r="AG169" s="119"/>
      <c r="AH169" s="119"/>
      <c r="AI169" s="119"/>
      <c r="AJ169" s="119"/>
      <c r="AK169" s="119"/>
    </row>
    <row r="170" spans="1:37">
      <c r="A170" s="215"/>
      <c r="B170" s="122"/>
      <c r="C170" s="122"/>
      <c r="D170" s="131"/>
      <c r="E170" s="131"/>
      <c r="F170" s="216"/>
      <c r="G170" s="119"/>
      <c r="H170" s="119"/>
      <c r="I170" s="119"/>
      <c r="J170" s="119"/>
      <c r="K170" s="119"/>
      <c r="L170" s="119"/>
      <c r="M170" s="119"/>
      <c r="N170" s="550"/>
      <c r="O170" s="534" t="s">
        <v>570</v>
      </c>
      <c r="P170" s="534">
        <v>-1</v>
      </c>
      <c r="Q170" s="534">
        <v>-1.5</v>
      </c>
      <c r="R170" s="534">
        <v>-1</v>
      </c>
      <c r="S170" s="534">
        <v>-1.5</v>
      </c>
      <c r="T170" s="541">
        <v>-0.3</v>
      </c>
      <c r="U170" s="541">
        <v>-0.3</v>
      </c>
      <c r="V170" s="536" t="s">
        <v>552</v>
      </c>
      <c r="W170" s="530"/>
      <c r="X170" s="537">
        <f>IF(22.5&lt;=$AA$94,IF($AA$94&lt;30,1,0),0)</f>
        <v>0</v>
      </c>
      <c r="Y170" s="538">
        <f>IF($AA$95=1,IF($X$128=1,P170,0),0)</f>
        <v>0</v>
      </c>
      <c r="Z170" s="527">
        <f t="shared" ref="Z170:AD170" si="65">IF($AA$95=1,IF($X$128=1,Q170,0),0)</f>
        <v>0</v>
      </c>
      <c r="AA170" s="527">
        <f t="shared" si="65"/>
        <v>0</v>
      </c>
      <c r="AB170" s="527">
        <f t="shared" si="65"/>
        <v>0</v>
      </c>
      <c r="AC170" s="527">
        <f t="shared" si="65"/>
        <v>0</v>
      </c>
      <c r="AD170" s="527">
        <f t="shared" si="65"/>
        <v>0</v>
      </c>
      <c r="AE170" s="529">
        <f>IF($AA$95=1,IF(X170=1,V170,0),0)</f>
        <v>0</v>
      </c>
      <c r="AF170" s="530"/>
      <c r="AG170" s="119"/>
      <c r="AH170" s="119"/>
      <c r="AI170" s="119"/>
      <c r="AJ170" s="119"/>
      <c r="AK170" s="119"/>
    </row>
    <row r="171" spans="1:37">
      <c r="A171" s="215"/>
      <c r="B171" s="122"/>
      <c r="C171" s="122"/>
      <c r="D171" s="131"/>
      <c r="E171" s="131"/>
      <c r="F171" s="216"/>
      <c r="G171" s="119"/>
      <c r="H171" s="119"/>
      <c r="I171" s="119"/>
      <c r="J171" s="119"/>
      <c r="K171" s="119"/>
      <c r="L171" s="119"/>
      <c r="M171" s="119"/>
      <c r="N171" s="550"/>
      <c r="O171" s="540"/>
      <c r="P171" s="540"/>
      <c r="Q171" s="540"/>
      <c r="R171" s="540"/>
      <c r="S171" s="540"/>
      <c r="T171" s="542"/>
      <c r="U171" s="542"/>
      <c r="V171" s="536" t="s">
        <v>553</v>
      </c>
      <c r="W171" s="530"/>
      <c r="X171" s="537"/>
      <c r="Y171" s="538"/>
      <c r="Z171" s="527"/>
      <c r="AA171" s="527"/>
      <c r="AB171" s="527"/>
      <c r="AC171" s="527"/>
      <c r="AD171" s="527"/>
      <c r="AE171" s="529">
        <f>IF($AA$95=1,IF(X170=1,V171,0),0)</f>
        <v>0</v>
      </c>
      <c r="AF171" s="530"/>
      <c r="AG171" s="119"/>
      <c r="AH171" s="119"/>
      <c r="AI171" s="119"/>
      <c r="AJ171" s="119"/>
      <c r="AK171" s="119"/>
    </row>
    <row r="172" spans="1:37">
      <c r="A172" s="215"/>
      <c r="B172" s="122"/>
      <c r="C172" s="122"/>
      <c r="D172" s="131"/>
      <c r="E172" s="131"/>
      <c r="F172" s="216"/>
      <c r="G172" s="119"/>
      <c r="H172" s="119"/>
      <c r="I172" s="119"/>
      <c r="J172" s="119"/>
      <c r="K172" s="119"/>
      <c r="L172" s="119"/>
      <c r="M172" s="119"/>
      <c r="N172" s="550"/>
      <c r="O172" s="534" t="s">
        <v>571</v>
      </c>
      <c r="P172" s="534">
        <f>(P174+P170)/2</f>
        <v>-1.1000000000000001</v>
      </c>
      <c r="Q172" s="534">
        <f t="shared" ref="Q172:U172" si="66">(Q174+Q170)/2</f>
        <v>-1.65</v>
      </c>
      <c r="R172" s="534">
        <f t="shared" si="66"/>
        <v>-1.1499999999999999</v>
      </c>
      <c r="S172" s="534">
        <f t="shared" si="66"/>
        <v>-1.7</v>
      </c>
      <c r="T172" s="534">
        <f t="shared" si="66"/>
        <v>-0.35</v>
      </c>
      <c r="U172" s="534">
        <f t="shared" si="66"/>
        <v>-0.35</v>
      </c>
      <c r="V172" s="536" t="s">
        <v>552</v>
      </c>
      <c r="W172" s="530"/>
      <c r="X172" s="537">
        <f>IF(30&lt;=$AA$94,IF($AA$94&lt;37.5,1,0),0)</f>
        <v>0</v>
      </c>
      <c r="Y172" s="538">
        <f>IF($AA$95=1,IF($X$130=1,P172,0),0)</f>
        <v>0</v>
      </c>
      <c r="Z172" s="527">
        <f t="shared" ref="Z172:AD172" si="67">IF($AA$95=1,IF($X$130=1,Q172,0),0)</f>
        <v>0</v>
      </c>
      <c r="AA172" s="527">
        <f t="shared" si="67"/>
        <v>0</v>
      </c>
      <c r="AB172" s="527">
        <f t="shared" si="67"/>
        <v>0</v>
      </c>
      <c r="AC172" s="527">
        <f t="shared" si="67"/>
        <v>0</v>
      </c>
      <c r="AD172" s="527">
        <f t="shared" si="67"/>
        <v>0</v>
      </c>
      <c r="AE172" s="529">
        <f>IF($AA$95=1,IF(X172=1,V172,0),0)</f>
        <v>0</v>
      </c>
      <c r="AF172" s="530"/>
      <c r="AG172" s="119"/>
      <c r="AH172" s="119"/>
      <c r="AI172" s="119"/>
      <c r="AJ172" s="119"/>
      <c r="AK172" s="119"/>
    </row>
    <row r="173" spans="1:37">
      <c r="A173" s="215"/>
      <c r="B173" s="122"/>
      <c r="C173" s="122"/>
      <c r="D173" s="131"/>
      <c r="E173" s="131"/>
      <c r="F173" s="216"/>
      <c r="G173" s="119"/>
      <c r="H173" s="119"/>
      <c r="I173" s="119"/>
      <c r="J173" s="119"/>
      <c r="K173" s="119"/>
      <c r="L173" s="119"/>
      <c r="M173" s="119"/>
      <c r="N173" s="550"/>
      <c r="O173" s="540"/>
      <c r="P173" s="540"/>
      <c r="Q173" s="540"/>
      <c r="R173" s="540"/>
      <c r="S173" s="540"/>
      <c r="T173" s="540"/>
      <c r="U173" s="540"/>
      <c r="V173" s="536" t="s">
        <v>553</v>
      </c>
      <c r="W173" s="530"/>
      <c r="X173" s="537"/>
      <c r="Y173" s="538"/>
      <c r="Z173" s="527"/>
      <c r="AA173" s="527"/>
      <c r="AB173" s="527"/>
      <c r="AC173" s="527"/>
      <c r="AD173" s="527"/>
      <c r="AE173" s="529">
        <f>IF($AA$95=1,IF(X172=1,V173,0),0)</f>
        <v>0</v>
      </c>
      <c r="AF173" s="530"/>
      <c r="AG173" s="119"/>
      <c r="AH173" s="119"/>
      <c r="AI173" s="119"/>
      <c r="AJ173" s="119"/>
      <c r="AK173" s="119"/>
    </row>
    <row r="174" spans="1:37">
      <c r="A174" s="215"/>
      <c r="B174" s="122"/>
      <c r="C174" s="122"/>
      <c r="D174" s="131"/>
      <c r="E174" s="131"/>
      <c r="F174" s="216"/>
      <c r="G174" s="119"/>
      <c r="H174" s="119"/>
      <c r="I174" s="119"/>
      <c r="J174" s="119"/>
      <c r="K174" s="119"/>
      <c r="L174" s="119"/>
      <c r="M174" s="119"/>
      <c r="N174" s="550"/>
      <c r="O174" s="534" t="s">
        <v>572</v>
      </c>
      <c r="P174" s="534">
        <v>-1.2</v>
      </c>
      <c r="Q174" s="534">
        <v>-1.8</v>
      </c>
      <c r="R174" s="534">
        <v>-1.3</v>
      </c>
      <c r="S174" s="534">
        <v>-1.9</v>
      </c>
      <c r="T174" s="541">
        <v>-0.4</v>
      </c>
      <c r="U174" s="541">
        <v>-0.4</v>
      </c>
      <c r="V174" s="536" t="s">
        <v>552</v>
      </c>
      <c r="W174" s="530"/>
      <c r="X174" s="537">
        <f>IF(37.5&lt;=$AA$94,IF($AA$94&lt;45,1,0),0)</f>
        <v>0</v>
      </c>
      <c r="Y174" s="538">
        <f>IF($AA$95=1,IF($X$132=1,P174,0),0)</f>
        <v>0</v>
      </c>
      <c r="Z174" s="527">
        <f t="shared" ref="Z174:AD174" si="68">IF($AA$95=1,IF($X$132=1,Q174,0),0)</f>
        <v>0</v>
      </c>
      <c r="AA174" s="527">
        <f t="shared" si="68"/>
        <v>0</v>
      </c>
      <c r="AB174" s="527">
        <f t="shared" si="68"/>
        <v>0</v>
      </c>
      <c r="AC174" s="527">
        <f t="shared" si="68"/>
        <v>0</v>
      </c>
      <c r="AD174" s="527">
        <f t="shared" si="68"/>
        <v>0</v>
      </c>
      <c r="AE174" s="529">
        <f>IF($AA$95=1,IF(X174=1,V174,0),0)</f>
        <v>0</v>
      </c>
      <c r="AF174" s="530"/>
      <c r="AG174" s="119"/>
      <c r="AH174" s="119"/>
      <c r="AI174" s="119"/>
      <c r="AJ174" s="119"/>
      <c r="AK174" s="119"/>
    </row>
    <row r="175" spans="1:37">
      <c r="A175" s="215"/>
      <c r="B175" s="122"/>
      <c r="C175" s="122"/>
      <c r="D175" s="131"/>
      <c r="E175" s="131"/>
      <c r="F175" s="216"/>
      <c r="G175" s="119"/>
      <c r="H175" s="119"/>
      <c r="I175" s="119"/>
      <c r="J175" s="119"/>
      <c r="K175" s="119"/>
      <c r="L175" s="119"/>
      <c r="M175" s="119"/>
      <c r="N175" s="550"/>
      <c r="O175" s="540"/>
      <c r="P175" s="540"/>
      <c r="Q175" s="540"/>
      <c r="R175" s="540"/>
      <c r="S175" s="540"/>
      <c r="T175" s="542"/>
      <c r="U175" s="542"/>
      <c r="V175" s="536" t="s">
        <v>553</v>
      </c>
      <c r="W175" s="530"/>
      <c r="X175" s="537"/>
      <c r="Y175" s="538"/>
      <c r="Z175" s="527"/>
      <c r="AA175" s="527"/>
      <c r="AB175" s="527"/>
      <c r="AC175" s="527"/>
      <c r="AD175" s="527"/>
      <c r="AE175" s="529">
        <f>IF($AA$95=1,IF(X174=1,V175,0),0)</f>
        <v>0</v>
      </c>
      <c r="AF175" s="530"/>
      <c r="AG175" s="119"/>
      <c r="AH175" s="119"/>
      <c r="AI175" s="119"/>
      <c r="AJ175" s="119"/>
      <c r="AK175" s="119"/>
    </row>
    <row r="176" spans="1:37">
      <c r="A176" s="215"/>
      <c r="B176" s="122"/>
      <c r="C176" s="122"/>
      <c r="D176" s="131"/>
      <c r="E176" s="131"/>
      <c r="F176" s="216"/>
      <c r="G176" s="119"/>
      <c r="H176" s="119"/>
      <c r="I176" s="119"/>
      <c r="J176" s="119"/>
      <c r="K176" s="119"/>
      <c r="L176" s="119"/>
      <c r="M176" s="119"/>
      <c r="N176" s="550"/>
      <c r="O176" s="534" t="s">
        <v>573</v>
      </c>
      <c r="P176" s="534">
        <f>(P178+P174)/2</f>
        <v>-1.25</v>
      </c>
      <c r="Q176" s="534">
        <f t="shared" ref="Q176:U176" si="69">(Q178+Q174)/2</f>
        <v>-1.85</v>
      </c>
      <c r="R176" s="534">
        <f t="shared" si="69"/>
        <v>-1.3</v>
      </c>
      <c r="S176" s="534">
        <f t="shared" si="69"/>
        <v>-1.9</v>
      </c>
      <c r="T176" s="534">
        <f t="shared" si="69"/>
        <v>-0.45</v>
      </c>
      <c r="U176" s="534">
        <f t="shared" si="69"/>
        <v>-0.45</v>
      </c>
      <c r="V176" s="536" t="s">
        <v>552</v>
      </c>
      <c r="W176" s="530"/>
      <c r="X176" s="537">
        <f>IF(45&lt;=$AA$94,IF($AA$94&lt;52.5,1,0),0)</f>
        <v>0</v>
      </c>
      <c r="Y176" s="538">
        <f>IF($AA$95=1,IF($X$134=1,P176,0),0)</f>
        <v>0</v>
      </c>
      <c r="Z176" s="527">
        <f t="shared" ref="Z176:AD176" si="70">IF($AA$95=1,IF($X$134=1,Q176,0),0)</f>
        <v>0</v>
      </c>
      <c r="AA176" s="527">
        <f t="shared" si="70"/>
        <v>0</v>
      </c>
      <c r="AB176" s="527">
        <f t="shared" si="70"/>
        <v>0</v>
      </c>
      <c r="AC176" s="527">
        <f t="shared" si="70"/>
        <v>0</v>
      </c>
      <c r="AD176" s="527">
        <f t="shared" si="70"/>
        <v>0</v>
      </c>
      <c r="AE176" s="529">
        <f>IF($AA$95=1,IF(X176=1,V176,0),0)</f>
        <v>0</v>
      </c>
      <c r="AF176" s="530"/>
      <c r="AG176" s="119"/>
      <c r="AH176" s="119"/>
      <c r="AI176" s="119"/>
      <c r="AJ176" s="119"/>
      <c r="AK176" s="119"/>
    </row>
    <row r="177" spans="1:37">
      <c r="A177" s="215"/>
      <c r="B177" s="122"/>
      <c r="C177" s="122"/>
      <c r="D177" s="131"/>
      <c r="E177" s="131"/>
      <c r="F177" s="216"/>
      <c r="G177" s="119"/>
      <c r="H177" s="119"/>
      <c r="I177" s="119"/>
      <c r="J177" s="119"/>
      <c r="K177" s="119"/>
      <c r="L177" s="119"/>
      <c r="M177" s="119"/>
      <c r="N177" s="550"/>
      <c r="O177" s="540"/>
      <c r="P177" s="540"/>
      <c r="Q177" s="540"/>
      <c r="R177" s="540"/>
      <c r="S177" s="540"/>
      <c r="T177" s="540"/>
      <c r="U177" s="540"/>
      <c r="V177" s="536" t="s">
        <v>553</v>
      </c>
      <c r="W177" s="530"/>
      <c r="X177" s="537"/>
      <c r="Y177" s="538"/>
      <c r="Z177" s="527"/>
      <c r="AA177" s="527"/>
      <c r="AB177" s="527"/>
      <c r="AC177" s="527"/>
      <c r="AD177" s="527"/>
      <c r="AE177" s="529">
        <f>IF($AA$95=1,IF(X176=1,V177,0),0)</f>
        <v>0</v>
      </c>
      <c r="AF177" s="530"/>
      <c r="AG177" s="119"/>
      <c r="AH177" s="119"/>
      <c r="AI177" s="119"/>
      <c r="AJ177" s="119"/>
      <c r="AK177" s="119"/>
    </row>
    <row r="178" spans="1:37">
      <c r="A178" s="215"/>
      <c r="B178" s="122"/>
      <c r="C178" s="122"/>
      <c r="D178" s="131"/>
      <c r="E178" s="131"/>
      <c r="F178" s="216"/>
      <c r="G178" s="119"/>
      <c r="H178" s="119"/>
      <c r="I178" s="119"/>
      <c r="J178" s="119"/>
      <c r="K178" s="119"/>
      <c r="L178" s="119"/>
      <c r="M178" s="119"/>
      <c r="N178" s="550"/>
      <c r="O178" s="534" t="s">
        <v>574</v>
      </c>
      <c r="P178" s="534">
        <v>-1.3</v>
      </c>
      <c r="Q178" s="534">
        <v>-1.9</v>
      </c>
      <c r="R178" s="534">
        <v>-1.3</v>
      </c>
      <c r="S178" s="534">
        <v>-1.9</v>
      </c>
      <c r="T178" s="541">
        <v>-0.5</v>
      </c>
      <c r="U178" s="541">
        <v>-0.5</v>
      </c>
      <c r="V178" s="536" t="s">
        <v>552</v>
      </c>
      <c r="W178" s="530"/>
      <c r="X178" s="537">
        <f>IF(52.5&lt;=$AA$94,IF($AA$94&lt;60,1,0),0)</f>
        <v>0</v>
      </c>
      <c r="Y178" s="538">
        <f>IF($AA$95=1,IF($X$136=1,P178,0),0)</f>
        <v>0</v>
      </c>
      <c r="Z178" s="527">
        <f t="shared" ref="Z178:AD178" si="71">IF($AA$95=1,IF($X$136=1,Q178,0),0)</f>
        <v>0</v>
      </c>
      <c r="AA178" s="527">
        <f t="shared" si="71"/>
        <v>0</v>
      </c>
      <c r="AB178" s="527">
        <f t="shared" si="71"/>
        <v>0</v>
      </c>
      <c r="AC178" s="527">
        <f t="shared" si="71"/>
        <v>0</v>
      </c>
      <c r="AD178" s="527">
        <f t="shared" si="71"/>
        <v>0</v>
      </c>
      <c r="AE178" s="529">
        <f>IF($AA$95=1,IF(X178=1,V178,0),0)</f>
        <v>0</v>
      </c>
      <c r="AF178" s="530"/>
      <c r="AG178" s="119"/>
      <c r="AH178" s="119"/>
      <c r="AI178" s="119"/>
      <c r="AJ178" s="119"/>
      <c r="AK178" s="119"/>
    </row>
    <row r="179" spans="1:37">
      <c r="A179" s="215"/>
      <c r="B179" s="122"/>
      <c r="C179" s="122"/>
      <c r="D179" s="131"/>
      <c r="E179" s="131"/>
      <c r="F179" s="216"/>
      <c r="G179" s="119"/>
      <c r="H179" s="119"/>
      <c r="I179" s="119"/>
      <c r="J179" s="119"/>
      <c r="K179" s="119"/>
      <c r="L179" s="119"/>
      <c r="M179" s="119"/>
      <c r="N179" s="550"/>
      <c r="O179" s="540"/>
      <c r="P179" s="540"/>
      <c r="Q179" s="540"/>
      <c r="R179" s="540"/>
      <c r="S179" s="540"/>
      <c r="T179" s="542"/>
      <c r="U179" s="542"/>
      <c r="V179" s="536" t="s">
        <v>553</v>
      </c>
      <c r="W179" s="530"/>
      <c r="X179" s="537"/>
      <c r="Y179" s="538"/>
      <c r="Z179" s="527"/>
      <c r="AA179" s="527"/>
      <c r="AB179" s="527"/>
      <c r="AC179" s="527"/>
      <c r="AD179" s="527"/>
      <c r="AE179" s="529">
        <f>IF($AA$95=1,IF(X178=1,V179,0),0)</f>
        <v>0</v>
      </c>
      <c r="AF179" s="530"/>
      <c r="AG179" s="119"/>
      <c r="AH179" s="119"/>
      <c r="AI179" s="119"/>
      <c r="AJ179" s="119"/>
      <c r="AK179" s="119"/>
    </row>
    <row r="180" spans="1:37">
      <c r="A180" s="215"/>
      <c r="B180" s="122"/>
      <c r="C180" s="122"/>
      <c r="D180" s="131"/>
      <c r="E180" s="131"/>
      <c r="F180" s="216"/>
      <c r="G180" s="119"/>
      <c r="H180" s="119"/>
      <c r="I180" s="119"/>
      <c r="J180" s="119"/>
      <c r="K180" s="119"/>
      <c r="L180" s="119"/>
      <c r="M180" s="119"/>
      <c r="N180" s="550"/>
      <c r="O180" s="534" t="s">
        <v>575</v>
      </c>
      <c r="P180" s="534">
        <f>P178+(P176-P174)</f>
        <v>-1.35</v>
      </c>
      <c r="Q180" s="534">
        <f t="shared" ref="Q180:U180" si="72">Q178+(Q176-Q174)</f>
        <v>-1.95</v>
      </c>
      <c r="R180" s="534">
        <f t="shared" si="72"/>
        <v>-1.3</v>
      </c>
      <c r="S180" s="534">
        <f t="shared" si="72"/>
        <v>-1.9</v>
      </c>
      <c r="T180" s="534">
        <f t="shared" si="72"/>
        <v>-0.55000000000000004</v>
      </c>
      <c r="U180" s="534">
        <f t="shared" si="72"/>
        <v>-0.55000000000000004</v>
      </c>
      <c r="V180" s="536" t="s">
        <v>552</v>
      </c>
      <c r="W180" s="530"/>
      <c r="X180" s="537">
        <f>IF(67.5&lt;=$AA$94,IF($AA$94&lt;75,1,0),0)</f>
        <v>0</v>
      </c>
      <c r="Y180" s="538">
        <f>IF($AA$95=1,IF($X$138=1,P180,0),0)</f>
        <v>0</v>
      </c>
      <c r="Z180" s="527">
        <f t="shared" ref="Z180:AD180" si="73">IF($AA$95=1,IF($X$138=1,Q180,0),0)</f>
        <v>0</v>
      </c>
      <c r="AA180" s="527">
        <f t="shared" si="73"/>
        <v>0</v>
      </c>
      <c r="AB180" s="527">
        <f t="shared" si="73"/>
        <v>0</v>
      </c>
      <c r="AC180" s="527">
        <f t="shared" si="73"/>
        <v>0</v>
      </c>
      <c r="AD180" s="527">
        <f t="shared" si="73"/>
        <v>0</v>
      </c>
      <c r="AE180" s="529">
        <f>IF($AA$95=1,IF(X180=1,V180,0),0)</f>
        <v>0</v>
      </c>
      <c r="AF180" s="530"/>
      <c r="AG180" s="119"/>
      <c r="AH180" s="119"/>
      <c r="AI180" s="119"/>
      <c r="AJ180" s="119"/>
      <c r="AK180" s="119"/>
    </row>
    <row r="181" spans="1:37" ht="15.75" thickBot="1">
      <c r="A181" s="215"/>
      <c r="B181" s="122"/>
      <c r="C181" s="122"/>
      <c r="D181" s="131"/>
      <c r="E181" s="131"/>
      <c r="F181" s="216"/>
      <c r="G181" s="119"/>
      <c r="H181" s="119"/>
      <c r="I181" s="119"/>
      <c r="J181" s="119"/>
      <c r="K181" s="119"/>
      <c r="L181" s="119"/>
      <c r="M181" s="119"/>
      <c r="N181" s="551"/>
      <c r="O181" s="535"/>
      <c r="P181" s="535"/>
      <c r="Q181" s="535"/>
      <c r="R181" s="535"/>
      <c r="S181" s="535"/>
      <c r="T181" s="535"/>
      <c r="U181" s="535"/>
      <c r="V181" s="531" t="s">
        <v>553</v>
      </c>
      <c r="W181" s="532"/>
      <c r="X181" s="537"/>
      <c r="Y181" s="539"/>
      <c r="Z181" s="528"/>
      <c r="AA181" s="528"/>
      <c r="AB181" s="528"/>
      <c r="AC181" s="528"/>
      <c r="AD181" s="528"/>
      <c r="AE181" s="533">
        <f>IF($AA$95=1,IF(X180=1,V181,0),0)</f>
        <v>0</v>
      </c>
      <c r="AF181" s="532"/>
      <c r="AG181" s="119"/>
      <c r="AH181" s="119"/>
      <c r="AI181" s="119"/>
      <c r="AJ181" s="119"/>
      <c r="AK181" s="119"/>
    </row>
    <row r="182" spans="1:37" ht="15.75" thickBot="1">
      <c r="A182" s="215"/>
      <c r="B182" s="122"/>
      <c r="C182" s="122"/>
      <c r="D182" s="131"/>
      <c r="E182" s="131"/>
      <c r="F182" s="216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525">
        <f>SUM(Y138:Y181)</f>
        <v>0</v>
      </c>
      <c r="Z182" s="525">
        <f t="shared" ref="Z182:AD182" si="74">SUM(Z138:Z181)</f>
        <v>0</v>
      </c>
      <c r="AA182" s="525">
        <f t="shared" si="74"/>
        <v>0</v>
      </c>
      <c r="AB182" s="525">
        <f t="shared" si="74"/>
        <v>0</v>
      </c>
      <c r="AC182" s="525">
        <f t="shared" si="74"/>
        <v>0</v>
      </c>
      <c r="AD182" s="525">
        <f t="shared" si="74"/>
        <v>0</v>
      </c>
      <c r="AE182" s="518" t="s">
        <v>552</v>
      </c>
      <c r="AF182" s="511"/>
      <c r="AG182" s="119"/>
      <c r="AH182" s="119"/>
      <c r="AI182" s="119"/>
      <c r="AJ182" s="119"/>
      <c r="AK182" s="119"/>
    </row>
    <row r="183" spans="1:37" ht="15.75" thickBot="1">
      <c r="A183" s="215"/>
      <c r="B183" s="122"/>
      <c r="C183" s="122"/>
      <c r="D183" s="131"/>
      <c r="E183" s="131"/>
      <c r="F183" s="216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526"/>
      <c r="Z183" s="526"/>
      <c r="AA183" s="526"/>
      <c r="AB183" s="526"/>
      <c r="AC183" s="526"/>
      <c r="AD183" s="526"/>
      <c r="AE183" s="518" t="s">
        <v>553</v>
      </c>
      <c r="AF183" s="511"/>
      <c r="AG183" s="119"/>
      <c r="AH183" s="119"/>
      <c r="AI183" s="119"/>
      <c r="AJ183" s="119"/>
      <c r="AK183" s="119"/>
    </row>
    <row r="184" spans="1:37">
      <c r="A184" s="215"/>
      <c r="B184" s="122"/>
      <c r="C184" s="122"/>
      <c r="D184" s="131"/>
      <c r="E184" s="131"/>
      <c r="F184" s="216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</row>
  </sheetData>
  <sheetProtection algorithmName="SHA-512" hashValue="+QAcnYQyxoNvjhDLMxe1Nx/pttBQ0XwWdd/Oov6oLeQy4BBz6f07CQo7OQIeywONyO9ufzq2F1W89PaO9SMiJA==" saltValue="OK1o25cP4b6PqQ2NwnnaUg==" spinCount="100000" sheet="1" objects="1" scenarios="1"/>
  <customSheetViews>
    <customSheetView guid="{D8D7B009-33DC-454B-9FCD-4FE65C8432CF}" showGridLines="0" state="hidden" topLeftCell="P58">
      <selection activeCell="AI87" sqref="AI87"/>
      <pageMargins left="0.7" right="0.7" top="0.75" bottom="0.75" header="0.3" footer="0.3"/>
      <pageSetup paperSize="9" orientation="portrait" r:id="rId1"/>
    </customSheetView>
  </customSheetViews>
  <mergeCells count="480">
    <mergeCell ref="D33:F33"/>
    <mergeCell ref="G33:I33"/>
    <mergeCell ref="G32:I32"/>
    <mergeCell ref="D26:F26"/>
    <mergeCell ref="D27:F27"/>
    <mergeCell ref="D28:F28"/>
    <mergeCell ref="D29:F29"/>
    <mergeCell ref="D30:F30"/>
    <mergeCell ref="D31:F31"/>
    <mergeCell ref="D32:F32"/>
    <mergeCell ref="G26:I26"/>
    <mergeCell ref="G27:I27"/>
    <mergeCell ref="G28:I28"/>
    <mergeCell ref="G29:I29"/>
    <mergeCell ref="G31:I31"/>
    <mergeCell ref="G30:I30"/>
    <mergeCell ref="AB45:AB46"/>
    <mergeCell ref="AC45:AC46"/>
    <mergeCell ref="AD45:AD46"/>
    <mergeCell ref="S47:S48"/>
    <mergeCell ref="T47:T48"/>
    <mergeCell ref="U47:U48"/>
    <mergeCell ref="W47:X48"/>
    <mergeCell ref="D45:D46"/>
    <mergeCell ref="J45:L46"/>
    <mergeCell ref="N45:P46"/>
    <mergeCell ref="S45:U46"/>
    <mergeCell ref="S49:S50"/>
    <mergeCell ref="T49:T50"/>
    <mergeCell ref="U49:U50"/>
    <mergeCell ref="W49:X50"/>
    <mergeCell ref="W51:X52"/>
    <mergeCell ref="Y51:Y52"/>
    <mergeCell ref="S52:U53"/>
    <mergeCell ref="W45:X46"/>
    <mergeCell ref="AA45:AA46"/>
    <mergeCell ref="AF52:AG52"/>
    <mergeCell ref="AH52:AI52"/>
    <mergeCell ref="AJ52:AK52"/>
    <mergeCell ref="W53:X54"/>
    <mergeCell ref="Y53:Y54"/>
    <mergeCell ref="S54:S55"/>
    <mergeCell ref="T54:T55"/>
    <mergeCell ref="U54:U55"/>
    <mergeCell ref="W55:X56"/>
    <mergeCell ref="Y55:Y56"/>
    <mergeCell ref="W60:X60"/>
    <mergeCell ref="W61:X61"/>
    <mergeCell ref="S56:S57"/>
    <mergeCell ref="T56:T57"/>
    <mergeCell ref="U56:U57"/>
    <mergeCell ref="W57:X57"/>
    <mergeCell ref="W58:X58"/>
    <mergeCell ref="W59:X59"/>
    <mergeCell ref="S59:U60"/>
    <mergeCell ref="S61:S62"/>
    <mergeCell ref="T61:T62"/>
    <mergeCell ref="U61:U62"/>
    <mergeCell ref="S63:S64"/>
    <mergeCell ref="T63:T64"/>
    <mergeCell ref="U63:U64"/>
    <mergeCell ref="N135:O137"/>
    <mergeCell ref="P135:W135"/>
    <mergeCell ref="P136:Q136"/>
    <mergeCell ref="R136:S136"/>
    <mergeCell ref="T136:U136"/>
    <mergeCell ref="V136:W136"/>
    <mergeCell ref="Q79:U79"/>
    <mergeCell ref="V80:Z80"/>
    <mergeCell ref="N81:N130"/>
    <mergeCell ref="Y134:AB134"/>
    <mergeCell ref="AC138:AC139"/>
    <mergeCell ref="AD138:AD139"/>
    <mergeCell ref="AE138:AF138"/>
    <mergeCell ref="V139:W139"/>
    <mergeCell ref="AE139:AF139"/>
    <mergeCell ref="N140:N153"/>
    <mergeCell ref="O140:O141"/>
    <mergeCell ref="P140:P141"/>
    <mergeCell ref="Q140:Q141"/>
    <mergeCell ref="R140:R141"/>
    <mergeCell ref="U138:U139"/>
    <mergeCell ref="V138:W138"/>
    <mergeCell ref="Y138:Y139"/>
    <mergeCell ref="Z138:Z139"/>
    <mergeCell ref="AA138:AA139"/>
    <mergeCell ref="AB138:AB139"/>
    <mergeCell ref="N138:O139"/>
    <mergeCell ref="P138:P139"/>
    <mergeCell ref="Q138:Q139"/>
    <mergeCell ref="R138:R139"/>
    <mergeCell ref="S138:S139"/>
    <mergeCell ref="T138:T139"/>
    <mergeCell ref="Z140:Z141"/>
    <mergeCell ref="AA140:AA141"/>
    <mergeCell ref="AB140:AB141"/>
    <mergeCell ref="AC140:AC141"/>
    <mergeCell ref="AD140:AD141"/>
    <mergeCell ref="AE140:AF140"/>
    <mergeCell ref="AE141:AF141"/>
    <mergeCell ref="S140:S141"/>
    <mergeCell ref="T140:T141"/>
    <mergeCell ref="U140:U141"/>
    <mergeCell ref="V140:W140"/>
    <mergeCell ref="X140:X141"/>
    <mergeCell ref="Y140:Y141"/>
    <mergeCell ref="V141:W141"/>
    <mergeCell ref="AE142:AF142"/>
    <mergeCell ref="V143:W143"/>
    <mergeCell ref="AE143:AF143"/>
    <mergeCell ref="U142:U143"/>
    <mergeCell ref="V142:W142"/>
    <mergeCell ref="X142:X143"/>
    <mergeCell ref="Y142:Y143"/>
    <mergeCell ref="Z142:Z143"/>
    <mergeCell ref="AA142:AA143"/>
    <mergeCell ref="O144:O145"/>
    <mergeCell ref="P144:P145"/>
    <mergeCell ref="Q144:Q145"/>
    <mergeCell ref="R144:R145"/>
    <mergeCell ref="S144:S145"/>
    <mergeCell ref="T144:T145"/>
    <mergeCell ref="AB142:AB143"/>
    <mergeCell ref="AC142:AC143"/>
    <mergeCell ref="AD142:AD143"/>
    <mergeCell ref="O142:O143"/>
    <mergeCell ref="P142:P143"/>
    <mergeCell ref="Q142:Q143"/>
    <mergeCell ref="R142:R143"/>
    <mergeCell ref="S142:S143"/>
    <mergeCell ref="T142:T143"/>
    <mergeCell ref="AB144:AB145"/>
    <mergeCell ref="AC144:AC145"/>
    <mergeCell ref="AD144:AD145"/>
    <mergeCell ref="AE144:AF144"/>
    <mergeCell ref="V145:W145"/>
    <mergeCell ref="AE145:AF145"/>
    <mergeCell ref="U144:U145"/>
    <mergeCell ref="V144:W144"/>
    <mergeCell ref="X144:X145"/>
    <mergeCell ref="Y144:Y145"/>
    <mergeCell ref="Z144:Z145"/>
    <mergeCell ref="AA144:AA145"/>
    <mergeCell ref="AE146:AF146"/>
    <mergeCell ref="V147:W147"/>
    <mergeCell ref="AE147:AF147"/>
    <mergeCell ref="U146:U147"/>
    <mergeCell ref="V146:W146"/>
    <mergeCell ref="X146:X147"/>
    <mergeCell ref="Y146:Y147"/>
    <mergeCell ref="Z146:Z147"/>
    <mergeCell ref="AA146:AA147"/>
    <mergeCell ref="O148:O149"/>
    <mergeCell ref="P148:P149"/>
    <mergeCell ref="Q148:Q149"/>
    <mergeCell ref="R148:R149"/>
    <mergeCell ref="S148:S149"/>
    <mergeCell ref="T148:T149"/>
    <mergeCell ref="AB146:AB147"/>
    <mergeCell ref="AC146:AC147"/>
    <mergeCell ref="AD146:AD147"/>
    <mergeCell ref="O146:O147"/>
    <mergeCell ref="P146:P147"/>
    <mergeCell ref="Q146:Q147"/>
    <mergeCell ref="R146:R147"/>
    <mergeCell ref="S146:S147"/>
    <mergeCell ref="T146:T147"/>
    <mergeCell ref="AB148:AB149"/>
    <mergeCell ref="AC148:AC149"/>
    <mergeCell ref="AD148:AD149"/>
    <mergeCell ref="AE148:AF148"/>
    <mergeCell ref="V149:W149"/>
    <mergeCell ref="AE149:AF149"/>
    <mergeCell ref="U148:U149"/>
    <mergeCell ref="V148:W148"/>
    <mergeCell ref="X148:X149"/>
    <mergeCell ref="Y148:Y149"/>
    <mergeCell ref="Z148:Z149"/>
    <mergeCell ref="AA148:AA149"/>
    <mergeCell ref="AE150:AF150"/>
    <mergeCell ref="V151:W151"/>
    <mergeCell ref="AE151:AF151"/>
    <mergeCell ref="U150:U151"/>
    <mergeCell ref="V150:W150"/>
    <mergeCell ref="X150:X151"/>
    <mergeCell ref="Y150:Y151"/>
    <mergeCell ref="Z150:Z151"/>
    <mergeCell ref="AA150:AA151"/>
    <mergeCell ref="O152:O153"/>
    <mergeCell ref="P152:P153"/>
    <mergeCell ref="Q152:Q153"/>
    <mergeCell ref="R152:R153"/>
    <mergeCell ref="S152:S153"/>
    <mergeCell ref="T152:T153"/>
    <mergeCell ref="AB150:AB151"/>
    <mergeCell ref="AC150:AC151"/>
    <mergeCell ref="AD150:AD151"/>
    <mergeCell ref="O150:O151"/>
    <mergeCell ref="P150:P151"/>
    <mergeCell ref="Q150:Q151"/>
    <mergeCell ref="R150:R151"/>
    <mergeCell ref="S150:S151"/>
    <mergeCell ref="T150:T151"/>
    <mergeCell ref="AB152:AB153"/>
    <mergeCell ref="AC152:AC153"/>
    <mergeCell ref="AD152:AD153"/>
    <mergeCell ref="AE152:AF152"/>
    <mergeCell ref="V153:W153"/>
    <mergeCell ref="AE153:AF153"/>
    <mergeCell ref="U152:U153"/>
    <mergeCell ref="V152:W152"/>
    <mergeCell ref="X152:X153"/>
    <mergeCell ref="Y152:Y153"/>
    <mergeCell ref="Z152:Z153"/>
    <mergeCell ref="AA152:AA153"/>
    <mergeCell ref="N154:N167"/>
    <mergeCell ref="O154:O155"/>
    <mergeCell ref="P154:P155"/>
    <mergeCell ref="Q154:Q155"/>
    <mergeCell ref="R154:R155"/>
    <mergeCell ref="S154:S155"/>
    <mergeCell ref="O156:O157"/>
    <mergeCell ref="P156:P157"/>
    <mergeCell ref="Q156:Q157"/>
    <mergeCell ref="R156:R157"/>
    <mergeCell ref="O158:O159"/>
    <mergeCell ref="P158:P159"/>
    <mergeCell ref="Q158:Q159"/>
    <mergeCell ref="R158:R159"/>
    <mergeCell ref="S158:S159"/>
    <mergeCell ref="O162:O163"/>
    <mergeCell ref="P162:P163"/>
    <mergeCell ref="Q162:Q163"/>
    <mergeCell ref="R162:R163"/>
    <mergeCell ref="S162:S163"/>
    <mergeCell ref="O166:O167"/>
    <mergeCell ref="P166:P167"/>
    <mergeCell ref="Q166:Q167"/>
    <mergeCell ref="R166:R167"/>
    <mergeCell ref="AC154:AC155"/>
    <mergeCell ref="AD154:AD155"/>
    <mergeCell ref="AE154:AF154"/>
    <mergeCell ref="V155:W155"/>
    <mergeCell ref="AE155:AF155"/>
    <mergeCell ref="T154:T155"/>
    <mergeCell ref="U154:U155"/>
    <mergeCell ref="V154:W154"/>
    <mergeCell ref="X154:X155"/>
    <mergeCell ref="Y154:Y155"/>
    <mergeCell ref="Z154:Z155"/>
    <mergeCell ref="S156:S157"/>
    <mergeCell ref="T156:T157"/>
    <mergeCell ref="U156:U157"/>
    <mergeCell ref="V156:W156"/>
    <mergeCell ref="X156:X157"/>
    <mergeCell ref="Y156:Y157"/>
    <mergeCell ref="V157:W157"/>
    <mergeCell ref="AA154:AA155"/>
    <mergeCell ref="AB154:AB155"/>
    <mergeCell ref="T158:T159"/>
    <mergeCell ref="Z156:Z157"/>
    <mergeCell ref="AA156:AA157"/>
    <mergeCell ref="AB156:AB157"/>
    <mergeCell ref="AB158:AB159"/>
    <mergeCell ref="AC158:AC159"/>
    <mergeCell ref="AD158:AD159"/>
    <mergeCell ref="AE158:AF158"/>
    <mergeCell ref="V159:W159"/>
    <mergeCell ref="AE159:AF159"/>
    <mergeCell ref="U158:U159"/>
    <mergeCell ref="V158:W158"/>
    <mergeCell ref="X158:X159"/>
    <mergeCell ref="Y158:Y159"/>
    <mergeCell ref="Z158:Z159"/>
    <mergeCell ref="AA158:AA159"/>
    <mergeCell ref="AC156:AC157"/>
    <mergeCell ref="AD156:AD157"/>
    <mergeCell ref="AE156:AF156"/>
    <mergeCell ref="AE157:AF157"/>
    <mergeCell ref="AE160:AF160"/>
    <mergeCell ref="V161:W161"/>
    <mergeCell ref="AE161:AF161"/>
    <mergeCell ref="U160:U161"/>
    <mergeCell ref="V160:W160"/>
    <mergeCell ref="X160:X161"/>
    <mergeCell ref="Y160:Y161"/>
    <mergeCell ref="Z160:Z161"/>
    <mergeCell ref="AA160:AA161"/>
    <mergeCell ref="T162:T163"/>
    <mergeCell ref="AB160:AB161"/>
    <mergeCell ref="AC160:AC161"/>
    <mergeCell ref="AD160:AD161"/>
    <mergeCell ref="O160:O161"/>
    <mergeCell ref="P160:P161"/>
    <mergeCell ref="Q160:Q161"/>
    <mergeCell ref="R160:R161"/>
    <mergeCell ref="S160:S161"/>
    <mergeCell ref="T160:T161"/>
    <mergeCell ref="AB162:AB163"/>
    <mergeCell ref="AC162:AC163"/>
    <mergeCell ref="AD162:AD163"/>
    <mergeCell ref="AE162:AF162"/>
    <mergeCell ref="V163:W163"/>
    <mergeCell ref="AE163:AF163"/>
    <mergeCell ref="U162:U163"/>
    <mergeCell ref="V162:W162"/>
    <mergeCell ref="X162:X163"/>
    <mergeCell ref="Y162:Y163"/>
    <mergeCell ref="Z162:Z163"/>
    <mergeCell ref="AA162:AA163"/>
    <mergeCell ref="AE164:AF164"/>
    <mergeCell ref="V165:W165"/>
    <mergeCell ref="AE165:AF165"/>
    <mergeCell ref="U164:U165"/>
    <mergeCell ref="V164:W164"/>
    <mergeCell ref="X164:X165"/>
    <mergeCell ref="Y164:Y165"/>
    <mergeCell ref="Z164:Z165"/>
    <mergeCell ref="AA164:AA165"/>
    <mergeCell ref="S166:S167"/>
    <mergeCell ref="T166:T167"/>
    <mergeCell ref="AB164:AB165"/>
    <mergeCell ref="AC164:AC165"/>
    <mergeCell ref="AD164:AD165"/>
    <mergeCell ref="O164:O165"/>
    <mergeCell ref="P164:P165"/>
    <mergeCell ref="Q164:Q165"/>
    <mergeCell ref="R164:R165"/>
    <mergeCell ref="S164:S165"/>
    <mergeCell ref="T164:T165"/>
    <mergeCell ref="AB166:AB167"/>
    <mergeCell ref="AC166:AC167"/>
    <mergeCell ref="AD166:AD167"/>
    <mergeCell ref="AE166:AF166"/>
    <mergeCell ref="V167:W167"/>
    <mergeCell ref="AE167:AF167"/>
    <mergeCell ref="U166:U167"/>
    <mergeCell ref="V166:W166"/>
    <mergeCell ref="X166:X167"/>
    <mergeCell ref="Y166:Y167"/>
    <mergeCell ref="Z166:Z167"/>
    <mergeCell ref="AA166:AA167"/>
    <mergeCell ref="N168:N181"/>
    <mergeCell ref="O168:O169"/>
    <mergeCell ref="P168:P169"/>
    <mergeCell ref="Q168:Q169"/>
    <mergeCell ref="R168:R169"/>
    <mergeCell ref="S168:S169"/>
    <mergeCell ref="O170:O171"/>
    <mergeCell ref="P170:P171"/>
    <mergeCell ref="Q170:Q171"/>
    <mergeCell ref="R170:R171"/>
    <mergeCell ref="O174:O175"/>
    <mergeCell ref="P174:P175"/>
    <mergeCell ref="Q174:Q175"/>
    <mergeCell ref="R174:R175"/>
    <mergeCell ref="S174:S175"/>
    <mergeCell ref="O178:O179"/>
    <mergeCell ref="P178:P179"/>
    <mergeCell ref="Q178:Q179"/>
    <mergeCell ref="R178:R179"/>
    <mergeCell ref="S178:S179"/>
    <mergeCell ref="R180:R181"/>
    <mergeCell ref="S180:S181"/>
    <mergeCell ref="O176:O177"/>
    <mergeCell ref="P176:P177"/>
    <mergeCell ref="AA168:AA169"/>
    <mergeCell ref="AB168:AB169"/>
    <mergeCell ref="AC168:AC169"/>
    <mergeCell ref="AD168:AD169"/>
    <mergeCell ref="AE168:AF168"/>
    <mergeCell ref="V169:W169"/>
    <mergeCell ref="AE169:AF169"/>
    <mergeCell ref="T168:T169"/>
    <mergeCell ref="U168:U169"/>
    <mergeCell ref="V168:W168"/>
    <mergeCell ref="X168:X169"/>
    <mergeCell ref="Y168:Y169"/>
    <mergeCell ref="Z168:Z169"/>
    <mergeCell ref="AE170:AF170"/>
    <mergeCell ref="AE171:AF171"/>
    <mergeCell ref="S170:S171"/>
    <mergeCell ref="T170:T171"/>
    <mergeCell ref="U170:U171"/>
    <mergeCell ref="V170:W170"/>
    <mergeCell ref="X170:X171"/>
    <mergeCell ref="Y170:Y171"/>
    <mergeCell ref="V171:W171"/>
    <mergeCell ref="U172:U173"/>
    <mergeCell ref="V172:W172"/>
    <mergeCell ref="X172:X173"/>
    <mergeCell ref="Y172:Y173"/>
    <mergeCell ref="Z172:Z173"/>
    <mergeCell ref="AA172:AA173"/>
    <mergeCell ref="AD172:AD173"/>
    <mergeCell ref="Z170:Z171"/>
    <mergeCell ref="AA170:AA171"/>
    <mergeCell ref="AB170:AB171"/>
    <mergeCell ref="AC170:AC171"/>
    <mergeCell ref="AD170:AD171"/>
    <mergeCell ref="AE174:AF174"/>
    <mergeCell ref="V175:W175"/>
    <mergeCell ref="AE175:AF175"/>
    <mergeCell ref="O172:O173"/>
    <mergeCell ref="P172:P173"/>
    <mergeCell ref="Q172:Q173"/>
    <mergeCell ref="R172:R173"/>
    <mergeCell ref="S172:S173"/>
    <mergeCell ref="T172:T173"/>
    <mergeCell ref="AB174:AB175"/>
    <mergeCell ref="AC174:AC175"/>
    <mergeCell ref="AD174:AD175"/>
    <mergeCell ref="U174:U175"/>
    <mergeCell ref="V174:W174"/>
    <mergeCell ref="X174:X175"/>
    <mergeCell ref="Y174:Y175"/>
    <mergeCell ref="Z174:Z175"/>
    <mergeCell ref="AA174:AA175"/>
    <mergeCell ref="T174:T175"/>
    <mergeCell ref="AB172:AB173"/>
    <mergeCell ref="AC172:AC173"/>
    <mergeCell ref="AE172:AF172"/>
    <mergeCell ref="V173:W173"/>
    <mergeCell ref="AE173:AF173"/>
    <mergeCell ref="AE176:AF176"/>
    <mergeCell ref="V177:W177"/>
    <mergeCell ref="AE177:AF177"/>
    <mergeCell ref="U176:U177"/>
    <mergeCell ref="V176:W176"/>
    <mergeCell ref="X176:X177"/>
    <mergeCell ref="Y176:Y177"/>
    <mergeCell ref="Z176:Z177"/>
    <mergeCell ref="AA176:AA177"/>
    <mergeCell ref="AB176:AB177"/>
    <mergeCell ref="AC176:AC177"/>
    <mergeCell ref="AD176:AD177"/>
    <mergeCell ref="AD178:AD179"/>
    <mergeCell ref="AE178:AF178"/>
    <mergeCell ref="V179:W179"/>
    <mergeCell ref="AE179:AF179"/>
    <mergeCell ref="U178:U179"/>
    <mergeCell ref="V178:W178"/>
    <mergeCell ref="X178:X179"/>
    <mergeCell ref="Y178:Y179"/>
    <mergeCell ref="Z178:Z179"/>
    <mergeCell ref="AA178:AA179"/>
    <mergeCell ref="P180:P181"/>
    <mergeCell ref="Q180:Q181"/>
    <mergeCell ref="Q176:Q177"/>
    <mergeCell ref="R176:R177"/>
    <mergeCell ref="S176:S177"/>
    <mergeCell ref="T176:T177"/>
    <mergeCell ref="T180:T181"/>
    <mergeCell ref="AB178:AB179"/>
    <mergeCell ref="AC178:AC179"/>
    <mergeCell ref="T178:T179"/>
    <mergeCell ref="AE69:AE71"/>
    <mergeCell ref="AF69:AF71"/>
    <mergeCell ref="AE182:AF182"/>
    <mergeCell ref="AE183:AF183"/>
    <mergeCell ref="E45:H46"/>
    <mergeCell ref="Y182:Y183"/>
    <mergeCell ref="Z182:Z183"/>
    <mergeCell ref="AA182:AA183"/>
    <mergeCell ref="AB182:AB183"/>
    <mergeCell ref="AC182:AC183"/>
    <mergeCell ref="AD182:AD183"/>
    <mergeCell ref="AB180:AB181"/>
    <mergeCell ref="AC180:AC181"/>
    <mergeCell ref="AD180:AD181"/>
    <mergeCell ref="AE180:AF180"/>
    <mergeCell ref="V181:W181"/>
    <mergeCell ref="AE181:AF181"/>
    <mergeCell ref="U180:U181"/>
    <mergeCell ref="V180:W180"/>
    <mergeCell ref="X180:X181"/>
    <mergeCell ref="Y180:Y181"/>
    <mergeCell ref="Z180:Z181"/>
    <mergeCell ref="AA180:AA181"/>
    <mergeCell ref="O180:O181"/>
  </mergeCells>
  <conditionalFormatting sqref="S28">
    <cfRule type="expression" dxfId="1" priority="1">
      <formula>$G28&gt;0</formula>
    </cfRule>
  </conditionalFormatting>
  <conditionalFormatting sqref="T28">
    <cfRule type="expression" dxfId="0" priority="55">
      <formula>$G29&gt;0</formula>
    </cfRule>
  </conditionalFormatting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S148"/>
  <sheetViews>
    <sheetView showGridLines="0" topLeftCell="A85" zoomScale="60" zoomScaleNormal="60" workbookViewId="0">
      <selection activeCell="D89" sqref="D89"/>
    </sheetView>
  </sheetViews>
  <sheetFormatPr baseColWidth="10" defaultRowHeight="15"/>
  <cols>
    <col min="1" max="1" width="15.28515625" customWidth="1"/>
    <col min="2" max="2" width="32.7109375" bestFit="1" customWidth="1"/>
    <col min="3" max="3" width="30.7109375" customWidth="1"/>
    <col min="4" max="14" width="40.7109375" customWidth="1"/>
    <col min="15" max="15" width="39" customWidth="1"/>
    <col min="17" max="18" width="40.7109375" customWidth="1"/>
    <col min="19" max="19" width="50.7109375" customWidth="1"/>
  </cols>
  <sheetData>
    <row r="3" spans="2:19" ht="15.75" thickBot="1">
      <c r="C3" s="100" t="s">
        <v>0</v>
      </c>
      <c r="D3" s="20"/>
      <c r="E3" s="20"/>
      <c r="F3" s="100" t="s">
        <v>606</v>
      </c>
      <c r="G3" s="100" t="s">
        <v>607</v>
      </c>
      <c r="H3" s="100" t="s">
        <v>608</v>
      </c>
      <c r="I3" s="100" t="s">
        <v>609</v>
      </c>
      <c r="J3" s="100" t="s">
        <v>610</v>
      </c>
      <c r="K3" s="100" t="s">
        <v>611</v>
      </c>
    </row>
    <row r="4" spans="2:19" ht="110.1" customHeight="1" thickBot="1">
      <c r="B4" s="104" t="str">
        <f>'Définition SHADOW SOLAR EVO'!G10</f>
        <v>2x2 2 Pieds</v>
      </c>
      <c r="C4" s="245" t="s">
        <v>680</v>
      </c>
      <c r="D4" s="101" t="str">
        <f>"Catalogue!"&amp;ADDRESS(ROW(D4),COLUMN(E4))</f>
        <v>Catalogue!$E$4</v>
      </c>
      <c r="E4" s="20"/>
      <c r="F4" s="260">
        <v>3523</v>
      </c>
      <c r="G4" s="260">
        <v>2655</v>
      </c>
      <c r="H4" s="260">
        <f>IF(B5=2400,2728,2728+1100)</f>
        <v>2728</v>
      </c>
      <c r="I4" s="260">
        <f>IF(C4=$B$4,F4,0)</f>
        <v>3523</v>
      </c>
      <c r="J4" s="260">
        <f>IF(C4=$B$4,G4,0)</f>
        <v>2655</v>
      </c>
      <c r="K4" s="260">
        <f>IF(C4=$B$4,H4,0)</f>
        <v>2728</v>
      </c>
    </row>
    <row r="5" spans="2:19" ht="110.1" customHeight="1" thickBot="1">
      <c r="B5" s="104">
        <f>'Définition SHADOW SOLAR EVO'!G11</f>
        <v>2400</v>
      </c>
      <c r="C5" s="245" t="s">
        <v>681</v>
      </c>
      <c r="D5" s="101" t="str">
        <f>"Catalogue!"&amp;ADDRESS(ROW(D5),COLUMN(E5))</f>
        <v>Catalogue!$E$5</v>
      </c>
      <c r="E5" s="20"/>
      <c r="F5" s="260">
        <v>3523</v>
      </c>
      <c r="G5" s="260">
        <v>2655</v>
      </c>
      <c r="H5" s="260">
        <f>H4</f>
        <v>2728</v>
      </c>
      <c r="I5" s="260">
        <f t="shared" ref="I5:I13" si="0">IF(C5=$B$4,F5,0)</f>
        <v>0</v>
      </c>
      <c r="J5" s="260">
        <f t="shared" ref="J5:J13" si="1">IF(C5=$B$4,G5,0)</f>
        <v>0</v>
      </c>
      <c r="K5" s="260">
        <f t="shared" ref="K5:K13" si="2">IF(C5=$B$4,H5,0)</f>
        <v>0</v>
      </c>
    </row>
    <row r="6" spans="2:19" ht="110.1" customHeight="1">
      <c r="C6" s="101" t="s">
        <v>683</v>
      </c>
      <c r="D6" s="101" t="str">
        <f t="shared" ref="D6:D12" si="3">"Catalogue!"&amp;ADDRESS(ROW(D6),COLUMN(E6))</f>
        <v>Catalogue!$E$6</v>
      </c>
      <c r="E6" s="20"/>
      <c r="F6" s="260">
        <v>5223</v>
      </c>
      <c r="G6" s="260">
        <v>2845</v>
      </c>
      <c r="H6" s="260">
        <f t="shared" ref="H6:H13" si="4">H5</f>
        <v>2728</v>
      </c>
      <c r="I6" s="260">
        <f t="shared" si="0"/>
        <v>0</v>
      </c>
      <c r="J6" s="260">
        <f t="shared" si="1"/>
        <v>0</v>
      </c>
      <c r="K6" s="260">
        <f t="shared" si="2"/>
        <v>0</v>
      </c>
    </row>
    <row r="7" spans="2:19" ht="110.1" customHeight="1">
      <c r="C7" s="101" t="s">
        <v>682</v>
      </c>
      <c r="D7" s="101" t="str">
        <f t="shared" ref="D7" si="5">"Catalogue!"&amp;ADDRESS(ROW(D7),COLUMN(E7))</f>
        <v>Catalogue!$E$7</v>
      </c>
      <c r="E7" s="20"/>
      <c r="F7" s="260">
        <v>5223</v>
      </c>
      <c r="G7" s="260">
        <v>2845</v>
      </c>
      <c r="H7" s="260">
        <f t="shared" si="4"/>
        <v>2728</v>
      </c>
      <c r="I7" s="260">
        <f t="shared" si="0"/>
        <v>0</v>
      </c>
      <c r="J7" s="260">
        <f t="shared" si="1"/>
        <v>0</v>
      </c>
      <c r="K7" s="260">
        <f t="shared" si="2"/>
        <v>0</v>
      </c>
    </row>
    <row r="8" spans="2:19" ht="110.1" customHeight="1">
      <c r="C8" s="101" t="s">
        <v>684</v>
      </c>
      <c r="D8" s="101" t="str">
        <f t="shared" si="3"/>
        <v>Catalogue!$E$8</v>
      </c>
      <c r="E8" s="20"/>
      <c r="F8" s="260">
        <v>5223</v>
      </c>
      <c r="G8" s="260">
        <v>3905</v>
      </c>
      <c r="H8" s="260">
        <f t="shared" si="4"/>
        <v>2728</v>
      </c>
      <c r="I8" s="260">
        <f t="shared" si="0"/>
        <v>0</v>
      </c>
      <c r="J8" s="260">
        <f t="shared" si="1"/>
        <v>0</v>
      </c>
      <c r="K8" s="260">
        <f t="shared" si="2"/>
        <v>0</v>
      </c>
    </row>
    <row r="9" spans="2:19" ht="110.1" customHeight="1">
      <c r="C9" s="101" t="s">
        <v>685</v>
      </c>
      <c r="D9" s="101" t="str">
        <f t="shared" ref="D9" si="6">"Catalogue!"&amp;ADDRESS(ROW(D9),COLUMN(E9))</f>
        <v>Catalogue!$E$9</v>
      </c>
      <c r="E9" s="20"/>
      <c r="F9" s="260">
        <v>5223</v>
      </c>
      <c r="G9" s="260">
        <v>3905</v>
      </c>
      <c r="H9" s="260">
        <f t="shared" si="4"/>
        <v>2728</v>
      </c>
      <c r="I9" s="260">
        <f t="shared" si="0"/>
        <v>0</v>
      </c>
      <c r="J9" s="260">
        <f t="shared" si="1"/>
        <v>0</v>
      </c>
      <c r="K9" s="260">
        <f t="shared" si="2"/>
        <v>0</v>
      </c>
    </row>
    <row r="10" spans="2:19" ht="110.1" customHeight="1">
      <c r="C10" s="101" t="s">
        <v>687</v>
      </c>
      <c r="D10" s="101" t="str">
        <f t="shared" si="3"/>
        <v>Catalogue!$E$10</v>
      </c>
      <c r="E10" s="20"/>
      <c r="F10" s="260">
        <v>3523</v>
      </c>
      <c r="G10" s="260">
        <v>5155</v>
      </c>
      <c r="H10" s="260">
        <f t="shared" si="4"/>
        <v>2728</v>
      </c>
      <c r="I10" s="260">
        <f t="shared" si="0"/>
        <v>0</v>
      </c>
      <c r="J10" s="260">
        <f t="shared" si="1"/>
        <v>0</v>
      </c>
      <c r="K10" s="260">
        <f t="shared" si="2"/>
        <v>0</v>
      </c>
    </row>
    <row r="11" spans="2:19" ht="110.1" customHeight="1">
      <c r="C11" s="101" t="s">
        <v>686</v>
      </c>
      <c r="D11" s="101" t="str">
        <f t="shared" ref="D11" si="7">"Catalogue!"&amp;ADDRESS(ROW(D11),COLUMN(E11))</f>
        <v>Catalogue!$E$11</v>
      </c>
      <c r="E11" s="20"/>
      <c r="F11" s="260">
        <v>3523</v>
      </c>
      <c r="G11" s="260">
        <v>5155</v>
      </c>
      <c r="H11" s="260">
        <f t="shared" si="4"/>
        <v>2728</v>
      </c>
      <c r="I11" s="260">
        <f t="shared" si="0"/>
        <v>0</v>
      </c>
      <c r="J11" s="260">
        <f t="shared" si="1"/>
        <v>0</v>
      </c>
      <c r="K11" s="260">
        <f t="shared" si="2"/>
        <v>0</v>
      </c>
      <c r="P11" s="101" t="str">
        <f>B4</f>
        <v>2x2 2 Pieds</v>
      </c>
      <c r="Q11" s="101">
        <f>IF(P11="4x3 4 Pieds",1,IF(P11="2x2 4 Pieds",1,IF(P11="2x3 4 Pieds",1,IF(P11="4x3 4 Pieds",1,IF(P11="3x3 4 Pieds",1,0)))))</f>
        <v>0</v>
      </c>
      <c r="R11" s="101" t="str">
        <f t="shared" ref="R11:R12" si="8">"Catalogue!"&amp;ADDRESS(ROW(R11),COLUMN(S11))</f>
        <v>Catalogue!$S$11</v>
      </c>
      <c r="S11" s="20"/>
    </row>
    <row r="12" spans="2:19" ht="110.1" customHeight="1">
      <c r="C12" s="101" t="s">
        <v>688</v>
      </c>
      <c r="D12" s="101" t="str">
        <f t="shared" si="3"/>
        <v>Catalogue!$E$12</v>
      </c>
      <c r="E12" s="20"/>
      <c r="F12" s="260">
        <v>5223</v>
      </c>
      <c r="G12" s="260">
        <v>5155</v>
      </c>
      <c r="H12" s="260">
        <f t="shared" si="4"/>
        <v>2728</v>
      </c>
      <c r="I12" s="260">
        <f t="shared" si="0"/>
        <v>0</v>
      </c>
      <c r="J12" s="260">
        <f t="shared" si="1"/>
        <v>0</v>
      </c>
      <c r="K12" s="260">
        <f t="shared" si="2"/>
        <v>0</v>
      </c>
      <c r="P12" s="101" t="str">
        <f>B4</f>
        <v>2x2 2 Pieds</v>
      </c>
      <c r="Q12" s="101">
        <f>IF(P12="4x3 2 Pieds",1,IF(P12="2x2 2 Pieds",1,IF(P12="2x3 2 Pieds",1,IF(P12="4x3 2 Pieds",1,IF(P12="3x3 2 Pieds",1,0)))))</f>
        <v>1</v>
      </c>
      <c r="R12" s="101" t="str">
        <f t="shared" si="8"/>
        <v>Catalogue!$S$12</v>
      </c>
      <c r="S12" s="20"/>
    </row>
    <row r="13" spans="2:19" ht="110.1" customHeight="1" thickBot="1">
      <c r="C13" s="101" t="s">
        <v>689</v>
      </c>
      <c r="D13" s="101" t="str">
        <f t="shared" ref="D13" si="9">"Catalogue!"&amp;ADDRESS(ROW(D13),COLUMN(E13))</f>
        <v>Catalogue!$E$13</v>
      </c>
      <c r="E13" s="20"/>
      <c r="F13" s="260">
        <v>5223</v>
      </c>
      <c r="G13" s="260">
        <v>5155</v>
      </c>
      <c r="H13" s="260">
        <f t="shared" si="4"/>
        <v>2728</v>
      </c>
      <c r="I13" s="261">
        <f t="shared" si="0"/>
        <v>0</v>
      </c>
      <c r="J13" s="261">
        <f t="shared" si="1"/>
        <v>0</v>
      </c>
      <c r="K13" s="261">
        <f t="shared" si="2"/>
        <v>0</v>
      </c>
      <c r="Q13" s="101">
        <v>1</v>
      </c>
    </row>
    <row r="14" spans="2:19" ht="49.5" customHeight="1" thickBot="1">
      <c r="C14" s="102"/>
      <c r="D14" s="102"/>
      <c r="I14" s="263">
        <f>SUM(I4:I13)</f>
        <v>3523</v>
      </c>
      <c r="J14" s="263">
        <f t="shared" ref="J14:K14" si="10">SUM(J4:J13)</f>
        <v>2655</v>
      </c>
      <c r="K14" s="370">
        <f t="shared" si="10"/>
        <v>2728</v>
      </c>
    </row>
    <row r="15" spans="2:19" ht="15" customHeight="1">
      <c r="B15" s="100" t="s">
        <v>446</v>
      </c>
      <c r="C15" s="100" t="s">
        <v>0</v>
      </c>
      <c r="D15" s="100" t="s">
        <v>443</v>
      </c>
      <c r="E15" s="100" t="s">
        <v>444</v>
      </c>
      <c r="F15" s="20"/>
      <c r="G15" s="20"/>
      <c r="H15" s="100" t="s">
        <v>447</v>
      </c>
      <c r="I15" s="262" t="s">
        <v>0</v>
      </c>
      <c r="J15" s="262" t="s">
        <v>448</v>
      </c>
      <c r="K15" s="262" t="s">
        <v>444</v>
      </c>
      <c r="L15" s="20"/>
      <c r="M15" s="20"/>
    </row>
    <row r="16" spans="2:19" ht="110.1" customHeight="1">
      <c r="B16" s="101" t="s">
        <v>445</v>
      </c>
      <c r="C16" s="101" t="s">
        <v>680</v>
      </c>
      <c r="D16" s="101">
        <v>0</v>
      </c>
      <c r="E16" s="101">
        <f t="shared" ref="E16:E57" si="11">IF($B$17=C16,IF($B$20=D16,H16,0),0)</f>
        <v>0</v>
      </c>
      <c r="F16" s="101" t="str">
        <f t="shared" ref="F16:F21" si="12">"Catalogue!"&amp;ADDRESS(ROW(F16),COLUMN(G16))</f>
        <v>Catalogue!$G$16</v>
      </c>
      <c r="G16" s="20"/>
      <c r="H16" s="101">
        <v>1</v>
      </c>
      <c r="I16" s="101" t="s">
        <v>680</v>
      </c>
      <c r="J16" s="101">
        <v>0</v>
      </c>
      <c r="K16" s="101">
        <f t="shared" ref="K16:K57" si="13">IF($B$17=I16,IF($B$21=J16,H16,0),0)</f>
        <v>1</v>
      </c>
      <c r="L16" s="101" t="str">
        <f>"Catalogue!"&amp;ADDRESS(ROW(L16),COLUMN(M16))</f>
        <v>Catalogue!$M$16</v>
      </c>
      <c r="M16" s="20"/>
    </row>
    <row r="17" spans="2:13" ht="110.1" customHeight="1">
      <c r="B17" s="101" t="str">
        <f>'Définition SHADOW SOLAR EVO'!G10</f>
        <v>2x2 2 Pieds</v>
      </c>
      <c r="C17" s="101" t="s">
        <v>681</v>
      </c>
      <c r="D17" s="101">
        <v>0</v>
      </c>
      <c r="E17" s="101">
        <f t="shared" si="11"/>
        <v>0</v>
      </c>
      <c r="F17" s="101" t="str">
        <f t="shared" si="12"/>
        <v>Catalogue!$G$17</v>
      </c>
      <c r="G17" s="20"/>
      <c r="H17" s="101">
        <f>H16+1</f>
        <v>2</v>
      </c>
      <c r="I17" s="101" t="s">
        <v>681</v>
      </c>
      <c r="J17" s="101">
        <v>0</v>
      </c>
      <c r="K17" s="101">
        <f t="shared" si="13"/>
        <v>0</v>
      </c>
      <c r="L17" s="101" t="str">
        <f>"Catalogue!"&amp;ADDRESS(ROW(L17),COLUMN(M17))</f>
        <v>Catalogue!$M$17</v>
      </c>
      <c r="M17" s="20"/>
    </row>
    <row r="18" spans="2:13" ht="110.1" customHeight="1">
      <c r="B18" s="101"/>
      <c r="C18" s="101" t="s">
        <v>680</v>
      </c>
      <c r="D18" s="101">
        <v>1</v>
      </c>
      <c r="E18" s="101">
        <f t="shared" si="11"/>
        <v>0</v>
      </c>
      <c r="F18" s="101" t="str">
        <f t="shared" si="12"/>
        <v>Catalogue!$G$18</v>
      </c>
      <c r="G18" s="20"/>
      <c r="H18" s="101">
        <f t="shared" ref="H18:H57" si="14">H17+1</f>
        <v>3</v>
      </c>
      <c r="I18" s="101" t="s">
        <v>680</v>
      </c>
      <c r="J18" s="101">
        <v>1</v>
      </c>
      <c r="K18" s="101">
        <f t="shared" si="13"/>
        <v>0</v>
      </c>
      <c r="L18" s="101" t="str">
        <f>"Catalogue!"&amp;ADDRESS(ROW(L18),COLUMN(M18))</f>
        <v>Catalogue!$M$18</v>
      </c>
      <c r="M18" s="20"/>
    </row>
    <row r="19" spans="2:13" ht="110.1" customHeight="1">
      <c r="B19" s="101"/>
      <c r="C19" s="101" t="s">
        <v>681</v>
      </c>
      <c r="D19" s="101">
        <v>1</v>
      </c>
      <c r="E19" s="101">
        <f t="shared" si="11"/>
        <v>0</v>
      </c>
      <c r="F19" s="101" t="str">
        <f t="shared" si="12"/>
        <v>Catalogue!$G$19</v>
      </c>
      <c r="G19" s="20"/>
      <c r="H19" s="101">
        <f t="shared" si="14"/>
        <v>4</v>
      </c>
      <c r="I19" s="101" t="s">
        <v>681</v>
      </c>
      <c r="J19" s="101">
        <v>1</v>
      </c>
      <c r="K19" s="101">
        <f t="shared" si="13"/>
        <v>0</v>
      </c>
      <c r="L19" s="101" t="str">
        <f>"Catalogue!"&amp;ADDRESS(ROW(L19),COLUMN(M19))</f>
        <v>Catalogue!$M$19</v>
      </c>
      <c r="M19" s="20"/>
    </row>
    <row r="20" spans="2:13" ht="110.1" customHeight="1">
      <c r="B20" s="101">
        <f>'Définition SHADOW SOLAR EVO'!G23</f>
        <v>2</v>
      </c>
      <c r="C20" s="101" t="s">
        <v>680</v>
      </c>
      <c r="D20" s="101">
        <v>2</v>
      </c>
      <c r="E20" s="101">
        <f t="shared" si="11"/>
        <v>5</v>
      </c>
      <c r="F20" s="101" t="str">
        <f t="shared" si="12"/>
        <v>Catalogue!$G$20</v>
      </c>
      <c r="G20" s="20"/>
      <c r="H20" s="101">
        <f t="shared" si="14"/>
        <v>5</v>
      </c>
      <c r="I20" s="101" t="s">
        <v>680</v>
      </c>
      <c r="J20" s="101">
        <v>2</v>
      </c>
      <c r="K20" s="101">
        <f t="shared" si="13"/>
        <v>0</v>
      </c>
      <c r="L20" s="101" t="str">
        <f>"Catalogue!"&amp;ADDRESS(ROW(L20),COLUMN(M20))</f>
        <v>Catalogue!$M$20</v>
      </c>
      <c r="M20" s="20"/>
    </row>
    <row r="21" spans="2:13" ht="110.1" customHeight="1">
      <c r="B21" s="101">
        <f>'Définition SHADOW SOLAR EVO'!G21</f>
        <v>0</v>
      </c>
      <c r="C21" s="101" t="s">
        <v>681</v>
      </c>
      <c r="D21" s="101">
        <v>2</v>
      </c>
      <c r="E21" s="101">
        <f t="shared" si="11"/>
        <v>0</v>
      </c>
      <c r="F21" s="101" t="str">
        <f t="shared" si="12"/>
        <v>Catalogue!$G$21</v>
      </c>
      <c r="G21" s="20"/>
      <c r="H21" s="101">
        <f t="shared" si="14"/>
        <v>6</v>
      </c>
      <c r="I21" s="101" t="s">
        <v>681</v>
      </c>
      <c r="J21" s="101">
        <v>2</v>
      </c>
      <c r="K21" s="101">
        <f t="shared" si="13"/>
        <v>0</v>
      </c>
      <c r="L21" s="101" t="str">
        <f t="shared" ref="L21:L57" si="15">"Catalogue!"&amp;ADDRESS(ROW(L21),COLUMN(M21))</f>
        <v>Catalogue!$M$21</v>
      </c>
      <c r="M21" s="20"/>
    </row>
    <row r="22" spans="2:13" ht="110.1" customHeight="1">
      <c r="C22" s="101" t="s">
        <v>683</v>
      </c>
      <c r="D22" s="101">
        <v>0</v>
      </c>
      <c r="E22" s="101">
        <f t="shared" si="11"/>
        <v>0</v>
      </c>
      <c r="F22" s="101" t="str">
        <f t="shared" ref="F22:F27" si="16">"Catalogue!"&amp;ADDRESS(ROW(F22),COLUMN(G22))</f>
        <v>Catalogue!$G$22</v>
      </c>
      <c r="G22" s="20"/>
      <c r="H22" s="101">
        <f t="shared" si="14"/>
        <v>7</v>
      </c>
      <c r="I22" s="101" t="s">
        <v>683</v>
      </c>
      <c r="J22" s="101">
        <v>0</v>
      </c>
      <c r="K22" s="101">
        <f t="shared" si="13"/>
        <v>0</v>
      </c>
      <c r="L22" s="101" t="str">
        <f t="shared" si="15"/>
        <v>Catalogue!$M$22</v>
      </c>
      <c r="M22" s="20"/>
    </row>
    <row r="23" spans="2:13" ht="110.1" customHeight="1">
      <c r="C23" s="101" t="s">
        <v>682</v>
      </c>
      <c r="D23" s="101">
        <v>0</v>
      </c>
      <c r="E23" s="101">
        <f t="shared" si="11"/>
        <v>0</v>
      </c>
      <c r="F23" s="101" t="str">
        <f t="shared" si="16"/>
        <v>Catalogue!$G$23</v>
      </c>
      <c r="G23" s="20"/>
      <c r="H23" s="101">
        <f t="shared" si="14"/>
        <v>8</v>
      </c>
      <c r="I23" s="101" t="s">
        <v>682</v>
      </c>
      <c r="J23" s="101">
        <v>0</v>
      </c>
      <c r="K23" s="101">
        <f t="shared" si="13"/>
        <v>0</v>
      </c>
      <c r="L23" s="101" t="str">
        <f t="shared" si="15"/>
        <v>Catalogue!$M$23</v>
      </c>
      <c r="M23" s="20"/>
    </row>
    <row r="24" spans="2:13" ht="110.1" customHeight="1">
      <c r="C24" s="101" t="s">
        <v>683</v>
      </c>
      <c r="D24" s="101">
        <v>1</v>
      </c>
      <c r="E24" s="101">
        <f t="shared" si="11"/>
        <v>0</v>
      </c>
      <c r="F24" s="101" t="str">
        <f t="shared" ref="F24:F25" si="17">"Catalogue!"&amp;ADDRESS(ROW(F24),COLUMN(G24))</f>
        <v>Catalogue!$G$24</v>
      </c>
      <c r="G24" s="20"/>
      <c r="H24" s="101">
        <f t="shared" si="14"/>
        <v>9</v>
      </c>
      <c r="I24" s="101" t="s">
        <v>683</v>
      </c>
      <c r="J24" s="101">
        <v>1</v>
      </c>
      <c r="K24" s="101">
        <f t="shared" si="13"/>
        <v>0</v>
      </c>
      <c r="L24" s="101" t="str">
        <f t="shared" ref="L24:L25" si="18">"Catalogue!"&amp;ADDRESS(ROW(L24),COLUMN(M24))</f>
        <v>Catalogue!$M$24</v>
      </c>
      <c r="M24" s="20"/>
    </row>
    <row r="25" spans="2:13" ht="110.1" customHeight="1">
      <c r="C25" s="101" t="s">
        <v>682</v>
      </c>
      <c r="D25" s="101">
        <v>1</v>
      </c>
      <c r="E25" s="101">
        <f t="shared" si="11"/>
        <v>0</v>
      </c>
      <c r="F25" s="101" t="str">
        <f t="shared" si="17"/>
        <v>Catalogue!$G$25</v>
      </c>
      <c r="G25" s="20"/>
      <c r="H25" s="101">
        <f t="shared" si="14"/>
        <v>10</v>
      </c>
      <c r="I25" s="101" t="s">
        <v>682</v>
      </c>
      <c r="J25" s="101">
        <v>1</v>
      </c>
      <c r="K25" s="101">
        <f t="shared" si="13"/>
        <v>0</v>
      </c>
      <c r="L25" s="101" t="str">
        <f t="shared" si="18"/>
        <v>Catalogue!$M$25</v>
      </c>
      <c r="M25" s="20"/>
    </row>
    <row r="26" spans="2:13" ht="110.1" customHeight="1">
      <c r="C26" s="101" t="s">
        <v>683</v>
      </c>
      <c r="D26" s="101">
        <v>2</v>
      </c>
      <c r="E26" s="101">
        <f t="shared" si="11"/>
        <v>0</v>
      </c>
      <c r="F26" s="101" t="str">
        <f t="shared" si="16"/>
        <v>Catalogue!$G$26</v>
      </c>
      <c r="G26" s="20"/>
      <c r="H26" s="101">
        <f t="shared" si="14"/>
        <v>11</v>
      </c>
      <c r="I26" s="101" t="s">
        <v>683</v>
      </c>
      <c r="J26" s="101">
        <v>2</v>
      </c>
      <c r="K26" s="101">
        <f t="shared" si="13"/>
        <v>0</v>
      </c>
      <c r="L26" s="101" t="str">
        <f t="shared" si="15"/>
        <v>Catalogue!$M$26</v>
      </c>
      <c r="M26" s="20"/>
    </row>
    <row r="27" spans="2:13" ht="110.1" customHeight="1">
      <c r="C27" s="101" t="s">
        <v>682</v>
      </c>
      <c r="D27" s="101">
        <v>2</v>
      </c>
      <c r="E27" s="101">
        <f t="shared" si="11"/>
        <v>0</v>
      </c>
      <c r="F27" s="101" t="str">
        <f t="shared" si="16"/>
        <v>Catalogue!$G$27</v>
      </c>
      <c r="G27" s="20"/>
      <c r="H27" s="101">
        <f t="shared" si="14"/>
        <v>12</v>
      </c>
      <c r="I27" s="101" t="s">
        <v>682</v>
      </c>
      <c r="J27" s="101">
        <v>2</v>
      </c>
      <c r="K27" s="101">
        <f t="shared" si="13"/>
        <v>0</v>
      </c>
      <c r="L27" s="101" t="str">
        <f t="shared" si="15"/>
        <v>Catalogue!$M$27</v>
      </c>
      <c r="M27" s="20"/>
    </row>
    <row r="28" spans="2:13" ht="110.1" customHeight="1">
      <c r="C28" s="101" t="s">
        <v>683</v>
      </c>
      <c r="D28" s="101">
        <v>3</v>
      </c>
      <c r="E28" s="101">
        <f t="shared" si="11"/>
        <v>0</v>
      </c>
      <c r="F28" s="101" t="str">
        <f t="shared" ref="F28:F55" si="19">"Catalogue!"&amp;ADDRESS(ROW(F28),COLUMN(G28))</f>
        <v>Catalogue!$G$28</v>
      </c>
      <c r="G28" s="20"/>
      <c r="H28" s="101">
        <f t="shared" si="14"/>
        <v>13</v>
      </c>
      <c r="I28" s="101" t="s">
        <v>683</v>
      </c>
      <c r="J28" s="101">
        <v>3</v>
      </c>
      <c r="K28" s="101">
        <f t="shared" si="13"/>
        <v>0</v>
      </c>
      <c r="L28" s="101" t="str">
        <f t="shared" si="15"/>
        <v>Catalogue!$M$28</v>
      </c>
      <c r="M28" s="20"/>
    </row>
    <row r="29" spans="2:13" ht="110.1" customHeight="1">
      <c r="C29" s="101" t="s">
        <v>682</v>
      </c>
      <c r="D29" s="101">
        <v>3</v>
      </c>
      <c r="E29" s="101">
        <f t="shared" si="11"/>
        <v>0</v>
      </c>
      <c r="F29" s="101" t="str">
        <f t="shared" si="19"/>
        <v>Catalogue!$G$29</v>
      </c>
      <c r="G29" s="20"/>
      <c r="H29" s="101">
        <f t="shared" si="14"/>
        <v>14</v>
      </c>
      <c r="I29" s="101" t="s">
        <v>682</v>
      </c>
      <c r="J29" s="101">
        <v>3</v>
      </c>
      <c r="K29" s="101">
        <f t="shared" si="13"/>
        <v>0</v>
      </c>
      <c r="L29" s="101" t="str">
        <f t="shared" si="15"/>
        <v>Catalogue!$M$29</v>
      </c>
      <c r="M29" s="20"/>
    </row>
    <row r="30" spans="2:13" ht="110.1" customHeight="1">
      <c r="C30" s="101" t="s">
        <v>684</v>
      </c>
      <c r="D30" s="101">
        <v>0</v>
      </c>
      <c r="E30" s="101">
        <f t="shared" si="11"/>
        <v>0</v>
      </c>
      <c r="F30" s="101" t="str">
        <f t="shared" si="19"/>
        <v>Catalogue!$G$30</v>
      </c>
      <c r="G30" s="20"/>
      <c r="H30" s="101">
        <f t="shared" si="14"/>
        <v>15</v>
      </c>
      <c r="I30" s="101" t="s">
        <v>684</v>
      </c>
      <c r="J30" s="101">
        <v>0</v>
      </c>
      <c r="K30" s="101">
        <f t="shared" si="13"/>
        <v>0</v>
      </c>
      <c r="L30" s="101" t="str">
        <f t="shared" si="15"/>
        <v>Catalogue!$M$30</v>
      </c>
      <c r="M30" s="20"/>
    </row>
    <row r="31" spans="2:13" ht="110.1" customHeight="1">
      <c r="C31" s="101" t="s">
        <v>685</v>
      </c>
      <c r="D31" s="101">
        <v>0</v>
      </c>
      <c r="E31" s="101">
        <f t="shared" si="11"/>
        <v>0</v>
      </c>
      <c r="F31" s="101" t="str">
        <f t="shared" si="19"/>
        <v>Catalogue!$G$31</v>
      </c>
      <c r="G31" s="20"/>
      <c r="H31" s="101">
        <f t="shared" si="14"/>
        <v>16</v>
      </c>
      <c r="I31" s="101" t="s">
        <v>685</v>
      </c>
      <c r="J31" s="101">
        <v>0</v>
      </c>
      <c r="K31" s="101">
        <f t="shared" si="13"/>
        <v>0</v>
      </c>
      <c r="L31" s="101" t="str">
        <f t="shared" si="15"/>
        <v>Catalogue!$M$31</v>
      </c>
      <c r="M31" s="20"/>
    </row>
    <row r="32" spans="2:13" ht="110.1" customHeight="1">
      <c r="C32" s="101" t="s">
        <v>684</v>
      </c>
      <c r="D32" s="101">
        <v>1</v>
      </c>
      <c r="E32" s="101">
        <f t="shared" si="11"/>
        <v>0</v>
      </c>
      <c r="F32" s="101" t="str">
        <f t="shared" ref="F32:F33" si="20">"Catalogue!"&amp;ADDRESS(ROW(F32),COLUMN(G32))</f>
        <v>Catalogue!$G$32</v>
      </c>
      <c r="G32" s="20"/>
      <c r="H32" s="101">
        <f t="shared" si="14"/>
        <v>17</v>
      </c>
      <c r="I32" s="101" t="s">
        <v>684</v>
      </c>
      <c r="J32" s="101">
        <v>1</v>
      </c>
      <c r="K32" s="101">
        <f t="shared" si="13"/>
        <v>0</v>
      </c>
      <c r="L32" s="101" t="str">
        <f t="shared" ref="L32:L33" si="21">"Catalogue!"&amp;ADDRESS(ROW(L32),COLUMN(M32))</f>
        <v>Catalogue!$M$32</v>
      </c>
      <c r="M32" s="20"/>
    </row>
    <row r="33" spans="3:13" ht="110.1" customHeight="1">
      <c r="C33" s="101" t="s">
        <v>685</v>
      </c>
      <c r="D33" s="101">
        <v>1</v>
      </c>
      <c r="E33" s="101">
        <f t="shared" si="11"/>
        <v>0</v>
      </c>
      <c r="F33" s="101" t="str">
        <f t="shared" si="20"/>
        <v>Catalogue!$G$33</v>
      </c>
      <c r="G33" s="20"/>
      <c r="H33" s="101">
        <f t="shared" si="14"/>
        <v>18</v>
      </c>
      <c r="I33" s="101" t="s">
        <v>685</v>
      </c>
      <c r="J33" s="101">
        <v>1</v>
      </c>
      <c r="K33" s="101">
        <f t="shared" si="13"/>
        <v>0</v>
      </c>
      <c r="L33" s="101" t="str">
        <f t="shared" si="21"/>
        <v>Catalogue!$M$33</v>
      </c>
      <c r="M33" s="20"/>
    </row>
    <row r="34" spans="3:13" ht="110.1" customHeight="1">
      <c r="C34" s="101" t="s">
        <v>684</v>
      </c>
      <c r="D34" s="101">
        <v>2</v>
      </c>
      <c r="E34" s="101">
        <f t="shared" si="11"/>
        <v>0</v>
      </c>
      <c r="F34" s="101" t="str">
        <f t="shared" si="19"/>
        <v>Catalogue!$G$34</v>
      </c>
      <c r="G34" s="20"/>
      <c r="H34" s="101">
        <f t="shared" si="14"/>
        <v>19</v>
      </c>
      <c r="I34" s="101" t="s">
        <v>684</v>
      </c>
      <c r="J34" s="101">
        <v>2</v>
      </c>
      <c r="K34" s="101">
        <f t="shared" si="13"/>
        <v>0</v>
      </c>
      <c r="L34" s="101" t="str">
        <f t="shared" si="15"/>
        <v>Catalogue!$M$34</v>
      </c>
      <c r="M34" s="20"/>
    </row>
    <row r="35" spans="3:13" ht="110.1" customHeight="1">
      <c r="C35" s="101" t="s">
        <v>685</v>
      </c>
      <c r="D35" s="101">
        <v>2</v>
      </c>
      <c r="E35" s="101">
        <f t="shared" si="11"/>
        <v>0</v>
      </c>
      <c r="F35" s="101" t="str">
        <f t="shared" si="19"/>
        <v>Catalogue!$G$35</v>
      </c>
      <c r="G35" s="20"/>
      <c r="H35" s="101">
        <f t="shared" si="14"/>
        <v>20</v>
      </c>
      <c r="I35" s="101" t="s">
        <v>685</v>
      </c>
      <c r="J35" s="101">
        <v>2</v>
      </c>
      <c r="K35" s="101">
        <f t="shared" si="13"/>
        <v>0</v>
      </c>
      <c r="L35" s="101" t="str">
        <f t="shared" si="15"/>
        <v>Catalogue!$M$35</v>
      </c>
      <c r="M35" s="20"/>
    </row>
    <row r="36" spans="3:13" ht="110.1" customHeight="1">
      <c r="C36" s="101" t="s">
        <v>684</v>
      </c>
      <c r="D36" s="101">
        <v>3</v>
      </c>
      <c r="E36" s="101">
        <f t="shared" si="11"/>
        <v>0</v>
      </c>
      <c r="F36" s="101" t="str">
        <f t="shared" si="19"/>
        <v>Catalogue!$G$36</v>
      </c>
      <c r="G36" s="20"/>
      <c r="H36" s="101">
        <f t="shared" si="14"/>
        <v>21</v>
      </c>
      <c r="I36" s="101" t="s">
        <v>684</v>
      </c>
      <c r="J36" s="101">
        <v>3</v>
      </c>
      <c r="K36" s="101">
        <f t="shared" si="13"/>
        <v>0</v>
      </c>
      <c r="L36" s="101" t="str">
        <f t="shared" si="15"/>
        <v>Catalogue!$M$36</v>
      </c>
      <c r="M36" s="20"/>
    </row>
    <row r="37" spans="3:13" ht="110.1" customHeight="1">
      <c r="C37" s="101" t="s">
        <v>685</v>
      </c>
      <c r="D37" s="101">
        <v>3</v>
      </c>
      <c r="E37" s="101">
        <f t="shared" si="11"/>
        <v>0</v>
      </c>
      <c r="F37" s="101" t="str">
        <f t="shared" si="19"/>
        <v>Catalogue!$G$37</v>
      </c>
      <c r="G37" s="20"/>
      <c r="H37" s="101">
        <f t="shared" si="14"/>
        <v>22</v>
      </c>
      <c r="I37" s="101" t="s">
        <v>685</v>
      </c>
      <c r="J37" s="101">
        <v>3</v>
      </c>
      <c r="K37" s="101">
        <f t="shared" si="13"/>
        <v>0</v>
      </c>
      <c r="L37" s="101" t="str">
        <f t="shared" si="15"/>
        <v>Catalogue!$M$37</v>
      </c>
      <c r="M37" s="20"/>
    </row>
    <row r="38" spans="3:13" ht="110.1" customHeight="1">
      <c r="C38" s="101" t="s">
        <v>687</v>
      </c>
      <c r="D38" s="101">
        <v>0</v>
      </c>
      <c r="E38" s="101">
        <f t="shared" si="11"/>
        <v>0</v>
      </c>
      <c r="F38" s="101" t="str">
        <f t="shared" si="19"/>
        <v>Catalogue!$G$38</v>
      </c>
      <c r="G38" s="20"/>
      <c r="H38" s="101">
        <f t="shared" si="14"/>
        <v>23</v>
      </c>
      <c r="I38" s="101" t="s">
        <v>687</v>
      </c>
      <c r="J38" s="101">
        <v>0</v>
      </c>
      <c r="K38" s="101">
        <f t="shared" si="13"/>
        <v>0</v>
      </c>
      <c r="L38" s="101" t="str">
        <f t="shared" si="15"/>
        <v>Catalogue!$M$38</v>
      </c>
      <c r="M38" s="20"/>
    </row>
    <row r="39" spans="3:13" ht="110.1" customHeight="1">
      <c r="C39" s="101" t="s">
        <v>686</v>
      </c>
      <c r="D39" s="101">
        <v>0</v>
      </c>
      <c r="E39" s="101">
        <f t="shared" si="11"/>
        <v>0</v>
      </c>
      <c r="F39" s="101" t="str">
        <f t="shared" si="19"/>
        <v>Catalogue!$G$39</v>
      </c>
      <c r="G39" s="20"/>
      <c r="H39" s="101">
        <f t="shared" si="14"/>
        <v>24</v>
      </c>
      <c r="I39" s="101" t="s">
        <v>686</v>
      </c>
      <c r="J39" s="101">
        <v>0</v>
      </c>
      <c r="K39" s="101">
        <f t="shared" si="13"/>
        <v>0</v>
      </c>
      <c r="L39" s="101" t="str">
        <f t="shared" si="15"/>
        <v>Catalogue!$M$39</v>
      </c>
      <c r="M39" s="20"/>
    </row>
    <row r="40" spans="3:13" ht="110.1" customHeight="1">
      <c r="C40" s="101" t="s">
        <v>687</v>
      </c>
      <c r="D40" s="101">
        <v>1</v>
      </c>
      <c r="E40" s="101">
        <f t="shared" si="11"/>
        <v>0</v>
      </c>
      <c r="F40" s="101" t="str">
        <f t="shared" ref="F40:F41" si="22">"Catalogue!"&amp;ADDRESS(ROW(F40),COLUMN(G40))</f>
        <v>Catalogue!$G$40</v>
      </c>
      <c r="G40" s="20"/>
      <c r="H40" s="101">
        <f t="shared" si="14"/>
        <v>25</v>
      </c>
      <c r="I40" s="101" t="s">
        <v>687</v>
      </c>
      <c r="J40" s="101">
        <v>1</v>
      </c>
      <c r="K40" s="101">
        <f t="shared" si="13"/>
        <v>0</v>
      </c>
      <c r="L40" s="101" t="str">
        <f t="shared" ref="L40:L41" si="23">"Catalogue!"&amp;ADDRESS(ROW(L40),COLUMN(M40))</f>
        <v>Catalogue!$M$40</v>
      </c>
      <c r="M40" s="20"/>
    </row>
    <row r="41" spans="3:13" ht="110.1" customHeight="1">
      <c r="C41" s="101" t="s">
        <v>686</v>
      </c>
      <c r="D41" s="101">
        <v>1</v>
      </c>
      <c r="E41" s="101">
        <f t="shared" si="11"/>
        <v>0</v>
      </c>
      <c r="F41" s="101" t="str">
        <f t="shared" si="22"/>
        <v>Catalogue!$G$41</v>
      </c>
      <c r="G41" s="20"/>
      <c r="H41" s="101">
        <f t="shared" si="14"/>
        <v>26</v>
      </c>
      <c r="I41" s="101" t="s">
        <v>686</v>
      </c>
      <c r="J41" s="101">
        <v>1</v>
      </c>
      <c r="K41" s="101">
        <f t="shared" si="13"/>
        <v>0</v>
      </c>
      <c r="L41" s="101" t="str">
        <f t="shared" si="23"/>
        <v>Catalogue!$M$41</v>
      </c>
      <c r="M41" s="20"/>
    </row>
    <row r="42" spans="3:13" ht="110.1" customHeight="1">
      <c r="C42" s="101" t="s">
        <v>687</v>
      </c>
      <c r="D42" s="101">
        <v>2</v>
      </c>
      <c r="E42" s="101">
        <f t="shared" si="11"/>
        <v>0</v>
      </c>
      <c r="F42" s="101" t="str">
        <f t="shared" ref="F42:F47" si="24">"Catalogue!"&amp;ADDRESS(ROW(F42),COLUMN(G42))</f>
        <v>Catalogue!$G$42</v>
      </c>
      <c r="G42" s="20"/>
      <c r="H42" s="101">
        <f t="shared" si="14"/>
        <v>27</v>
      </c>
      <c r="I42" s="101" t="s">
        <v>687</v>
      </c>
      <c r="J42" s="101">
        <v>2</v>
      </c>
      <c r="K42" s="101">
        <f t="shared" si="13"/>
        <v>0</v>
      </c>
      <c r="L42" s="101" t="str">
        <f t="shared" si="15"/>
        <v>Catalogue!$M$42</v>
      </c>
      <c r="M42" s="20"/>
    </row>
    <row r="43" spans="3:13" ht="110.1" customHeight="1">
      <c r="C43" s="101" t="s">
        <v>686</v>
      </c>
      <c r="D43" s="101">
        <v>2</v>
      </c>
      <c r="E43" s="101">
        <f t="shared" si="11"/>
        <v>0</v>
      </c>
      <c r="F43" s="101" t="str">
        <f t="shared" si="24"/>
        <v>Catalogue!$G$43</v>
      </c>
      <c r="G43" s="20"/>
      <c r="H43" s="101">
        <f t="shared" si="14"/>
        <v>28</v>
      </c>
      <c r="I43" s="101" t="s">
        <v>686</v>
      </c>
      <c r="J43" s="101">
        <v>2</v>
      </c>
      <c r="K43" s="101">
        <f t="shared" si="13"/>
        <v>0</v>
      </c>
      <c r="L43" s="101" t="str">
        <f t="shared" si="15"/>
        <v>Catalogue!$M$43</v>
      </c>
      <c r="M43" s="20"/>
    </row>
    <row r="44" spans="3:13" ht="110.1" customHeight="1">
      <c r="C44" s="101" t="s">
        <v>687</v>
      </c>
      <c r="D44" s="101">
        <v>3</v>
      </c>
      <c r="E44" s="101">
        <f t="shared" si="11"/>
        <v>0</v>
      </c>
      <c r="F44" s="101" t="str">
        <f t="shared" si="24"/>
        <v>Catalogue!$G$44</v>
      </c>
      <c r="G44" s="20"/>
      <c r="H44" s="101">
        <f t="shared" si="14"/>
        <v>29</v>
      </c>
      <c r="I44" s="101" t="s">
        <v>687</v>
      </c>
      <c r="J44" s="101">
        <v>3</v>
      </c>
      <c r="K44" s="101">
        <f t="shared" si="13"/>
        <v>0</v>
      </c>
      <c r="L44" s="101" t="str">
        <f t="shared" si="15"/>
        <v>Catalogue!$M$44</v>
      </c>
      <c r="M44" s="20"/>
    </row>
    <row r="45" spans="3:13" ht="110.1" customHeight="1">
      <c r="C45" s="101" t="s">
        <v>686</v>
      </c>
      <c r="D45" s="101">
        <v>3</v>
      </c>
      <c r="E45" s="101">
        <f t="shared" si="11"/>
        <v>0</v>
      </c>
      <c r="F45" s="101" t="str">
        <f t="shared" si="24"/>
        <v>Catalogue!$G$45</v>
      </c>
      <c r="G45" s="20"/>
      <c r="H45" s="101">
        <f t="shared" si="14"/>
        <v>30</v>
      </c>
      <c r="I45" s="101" t="s">
        <v>686</v>
      </c>
      <c r="J45" s="101">
        <v>3</v>
      </c>
      <c r="K45" s="101">
        <f t="shared" si="13"/>
        <v>0</v>
      </c>
      <c r="L45" s="101" t="str">
        <f t="shared" si="15"/>
        <v>Catalogue!$M$45</v>
      </c>
      <c r="M45" s="20"/>
    </row>
    <row r="46" spans="3:13" ht="110.1" customHeight="1">
      <c r="C46" s="101" t="s">
        <v>687</v>
      </c>
      <c r="D46" s="101">
        <v>4</v>
      </c>
      <c r="E46" s="101">
        <f t="shared" si="11"/>
        <v>0</v>
      </c>
      <c r="F46" s="101" t="str">
        <f t="shared" si="24"/>
        <v>Catalogue!$G$46</v>
      </c>
      <c r="G46" s="20"/>
      <c r="H46" s="101">
        <f t="shared" si="14"/>
        <v>31</v>
      </c>
      <c r="I46" s="101" t="s">
        <v>687</v>
      </c>
      <c r="J46" s="101">
        <v>4</v>
      </c>
      <c r="K46" s="101">
        <f t="shared" si="13"/>
        <v>0</v>
      </c>
      <c r="L46" s="101" t="str">
        <f t="shared" si="15"/>
        <v>Catalogue!$M$46</v>
      </c>
      <c r="M46" s="20"/>
    </row>
    <row r="47" spans="3:13" ht="110.1" customHeight="1">
      <c r="C47" s="101" t="s">
        <v>686</v>
      </c>
      <c r="D47" s="101">
        <v>4</v>
      </c>
      <c r="E47" s="101">
        <f t="shared" si="11"/>
        <v>0</v>
      </c>
      <c r="F47" s="101" t="str">
        <f t="shared" si="24"/>
        <v>Catalogue!$G$47</v>
      </c>
      <c r="G47" s="20"/>
      <c r="H47" s="101">
        <f t="shared" si="14"/>
        <v>32</v>
      </c>
      <c r="I47" s="101" t="s">
        <v>686</v>
      </c>
      <c r="J47" s="101">
        <v>4</v>
      </c>
      <c r="K47" s="101">
        <f t="shared" si="13"/>
        <v>0</v>
      </c>
      <c r="L47" s="101" t="str">
        <f t="shared" si="15"/>
        <v>Catalogue!$M$47</v>
      </c>
      <c r="M47" s="20"/>
    </row>
    <row r="48" spans="3:13" ht="110.1" customHeight="1">
      <c r="C48" s="101" t="s">
        <v>688</v>
      </c>
      <c r="D48" s="101">
        <v>0</v>
      </c>
      <c r="E48" s="101">
        <f t="shared" si="11"/>
        <v>0</v>
      </c>
      <c r="F48" s="101" t="str">
        <f t="shared" si="19"/>
        <v>Catalogue!$G$48</v>
      </c>
      <c r="G48" s="20"/>
      <c r="H48" s="101">
        <f t="shared" si="14"/>
        <v>33</v>
      </c>
      <c r="I48" s="101" t="s">
        <v>688</v>
      </c>
      <c r="J48" s="101">
        <v>0</v>
      </c>
      <c r="K48" s="101">
        <f t="shared" si="13"/>
        <v>0</v>
      </c>
      <c r="L48" s="101" t="str">
        <f t="shared" si="15"/>
        <v>Catalogue!$M$48</v>
      </c>
      <c r="M48" s="20"/>
    </row>
    <row r="49" spans="1:15" ht="110.1" customHeight="1">
      <c r="C49" s="101" t="s">
        <v>689</v>
      </c>
      <c r="D49" s="101">
        <v>0</v>
      </c>
      <c r="E49" s="101">
        <f t="shared" si="11"/>
        <v>0</v>
      </c>
      <c r="F49" s="101" t="str">
        <f t="shared" si="19"/>
        <v>Catalogue!$G$49</v>
      </c>
      <c r="G49" s="20"/>
      <c r="H49" s="101">
        <f t="shared" si="14"/>
        <v>34</v>
      </c>
      <c r="I49" s="101" t="s">
        <v>689</v>
      </c>
      <c r="J49" s="101">
        <v>0</v>
      </c>
      <c r="K49" s="101">
        <f t="shared" si="13"/>
        <v>0</v>
      </c>
      <c r="L49" s="101" t="str">
        <f t="shared" si="15"/>
        <v>Catalogue!$M$49</v>
      </c>
      <c r="M49" s="20"/>
    </row>
    <row r="50" spans="1:15" ht="110.1" customHeight="1">
      <c r="C50" s="101" t="s">
        <v>688</v>
      </c>
      <c r="D50" s="101">
        <v>1</v>
      </c>
      <c r="E50" s="101">
        <f t="shared" si="11"/>
        <v>0</v>
      </c>
      <c r="F50" s="101" t="str">
        <f t="shared" ref="F50:F51" si="25">"Catalogue!"&amp;ADDRESS(ROW(F50),COLUMN(G50))</f>
        <v>Catalogue!$G$50</v>
      </c>
      <c r="G50" s="20"/>
      <c r="H50" s="101">
        <f t="shared" si="14"/>
        <v>35</v>
      </c>
      <c r="I50" s="101" t="s">
        <v>688</v>
      </c>
      <c r="J50" s="101">
        <v>1</v>
      </c>
      <c r="K50" s="101">
        <f t="shared" si="13"/>
        <v>0</v>
      </c>
      <c r="L50" s="101" t="str">
        <f t="shared" ref="L50:L51" si="26">"Catalogue!"&amp;ADDRESS(ROW(L50),COLUMN(M50))</f>
        <v>Catalogue!$M$50</v>
      </c>
      <c r="M50" s="20"/>
    </row>
    <row r="51" spans="1:15" ht="110.1" customHeight="1">
      <c r="C51" s="101" t="s">
        <v>689</v>
      </c>
      <c r="D51" s="101">
        <v>1</v>
      </c>
      <c r="E51" s="101">
        <f t="shared" si="11"/>
        <v>0</v>
      </c>
      <c r="F51" s="101" t="str">
        <f t="shared" si="25"/>
        <v>Catalogue!$G$51</v>
      </c>
      <c r="G51" s="20"/>
      <c r="H51" s="101">
        <f t="shared" si="14"/>
        <v>36</v>
      </c>
      <c r="I51" s="101" t="s">
        <v>689</v>
      </c>
      <c r="J51" s="101">
        <v>1</v>
      </c>
      <c r="K51" s="101">
        <f t="shared" si="13"/>
        <v>0</v>
      </c>
      <c r="L51" s="101" t="str">
        <f t="shared" si="26"/>
        <v>Catalogue!$M$51</v>
      </c>
      <c r="M51" s="20"/>
    </row>
    <row r="52" spans="1:15" ht="110.1" customHeight="1">
      <c r="C52" s="101" t="s">
        <v>688</v>
      </c>
      <c r="D52" s="101">
        <v>2</v>
      </c>
      <c r="E52" s="101">
        <f t="shared" si="11"/>
        <v>0</v>
      </c>
      <c r="F52" s="101" t="str">
        <f t="shared" si="19"/>
        <v>Catalogue!$G$52</v>
      </c>
      <c r="G52" s="20"/>
      <c r="H52" s="101">
        <f t="shared" si="14"/>
        <v>37</v>
      </c>
      <c r="I52" s="101" t="s">
        <v>688</v>
      </c>
      <c r="J52" s="101">
        <v>2</v>
      </c>
      <c r="K52" s="101">
        <f t="shared" si="13"/>
        <v>0</v>
      </c>
      <c r="L52" s="101" t="str">
        <f t="shared" si="15"/>
        <v>Catalogue!$M$52</v>
      </c>
      <c r="M52" s="20"/>
    </row>
    <row r="53" spans="1:15" ht="110.1" customHeight="1">
      <c r="C53" s="101" t="s">
        <v>689</v>
      </c>
      <c r="D53" s="101">
        <v>2</v>
      </c>
      <c r="E53" s="101">
        <f t="shared" si="11"/>
        <v>0</v>
      </c>
      <c r="F53" s="101" t="str">
        <f t="shared" si="19"/>
        <v>Catalogue!$G$53</v>
      </c>
      <c r="G53" s="20"/>
      <c r="H53" s="101">
        <f t="shared" si="14"/>
        <v>38</v>
      </c>
      <c r="I53" s="101" t="s">
        <v>689</v>
      </c>
      <c r="J53" s="101">
        <v>2</v>
      </c>
      <c r="K53" s="101">
        <f t="shared" si="13"/>
        <v>0</v>
      </c>
      <c r="L53" s="101" t="str">
        <f t="shared" si="15"/>
        <v>Catalogue!$M$53</v>
      </c>
      <c r="M53" s="20"/>
    </row>
    <row r="54" spans="1:15" ht="110.1" customHeight="1">
      <c r="C54" s="101" t="s">
        <v>688</v>
      </c>
      <c r="D54" s="101">
        <v>3</v>
      </c>
      <c r="E54" s="101">
        <f t="shared" si="11"/>
        <v>0</v>
      </c>
      <c r="F54" s="101" t="str">
        <f t="shared" si="19"/>
        <v>Catalogue!$G$54</v>
      </c>
      <c r="G54" s="20"/>
      <c r="H54" s="101">
        <f t="shared" si="14"/>
        <v>39</v>
      </c>
      <c r="I54" s="101" t="s">
        <v>688</v>
      </c>
      <c r="J54" s="101">
        <v>3</v>
      </c>
      <c r="K54" s="101">
        <f t="shared" si="13"/>
        <v>0</v>
      </c>
      <c r="L54" s="101" t="str">
        <f t="shared" si="15"/>
        <v>Catalogue!$M$54</v>
      </c>
      <c r="M54" s="20"/>
    </row>
    <row r="55" spans="1:15" ht="110.1" customHeight="1">
      <c r="C55" s="101" t="s">
        <v>689</v>
      </c>
      <c r="D55" s="101">
        <v>3</v>
      </c>
      <c r="E55" s="101">
        <f t="shared" si="11"/>
        <v>0</v>
      </c>
      <c r="F55" s="101" t="str">
        <f t="shared" si="19"/>
        <v>Catalogue!$G$55</v>
      </c>
      <c r="G55" s="20"/>
      <c r="H55" s="101">
        <f t="shared" si="14"/>
        <v>40</v>
      </c>
      <c r="I55" s="101" t="s">
        <v>689</v>
      </c>
      <c r="J55" s="101">
        <v>3</v>
      </c>
      <c r="K55" s="101">
        <f t="shared" si="13"/>
        <v>0</v>
      </c>
      <c r="L55" s="101" t="str">
        <f t="shared" si="15"/>
        <v>Catalogue!$M$55</v>
      </c>
      <c r="M55" s="20"/>
    </row>
    <row r="56" spans="1:15" ht="110.1" customHeight="1">
      <c r="C56" s="101" t="s">
        <v>688</v>
      </c>
      <c r="D56" s="101">
        <v>4</v>
      </c>
      <c r="E56" s="101">
        <f t="shared" si="11"/>
        <v>0</v>
      </c>
      <c r="F56" s="101" t="str">
        <f t="shared" ref="F56:F57" si="27">"Catalogue!"&amp;ADDRESS(ROW(F56),COLUMN(G56))</f>
        <v>Catalogue!$G$56</v>
      </c>
      <c r="G56" s="20"/>
      <c r="H56" s="101">
        <f t="shared" si="14"/>
        <v>41</v>
      </c>
      <c r="I56" s="101" t="s">
        <v>688</v>
      </c>
      <c r="J56" s="101">
        <v>4</v>
      </c>
      <c r="K56" s="101">
        <f t="shared" si="13"/>
        <v>0</v>
      </c>
      <c r="L56" s="101" t="str">
        <f t="shared" si="15"/>
        <v>Catalogue!$M$56</v>
      </c>
      <c r="M56" s="20"/>
    </row>
    <row r="57" spans="1:15" ht="110.1" customHeight="1" thickBot="1">
      <c r="C57" s="101" t="s">
        <v>689</v>
      </c>
      <c r="D57" s="101">
        <v>4</v>
      </c>
      <c r="E57" s="103">
        <f t="shared" si="11"/>
        <v>0</v>
      </c>
      <c r="F57" s="101" t="str">
        <f t="shared" si="27"/>
        <v>Catalogue!$G$57</v>
      </c>
      <c r="G57" s="20"/>
      <c r="H57" s="101">
        <f t="shared" si="14"/>
        <v>42</v>
      </c>
      <c r="I57" s="101" t="s">
        <v>689</v>
      </c>
      <c r="J57" s="101">
        <v>4</v>
      </c>
      <c r="K57" s="101">
        <f t="shared" si="13"/>
        <v>0</v>
      </c>
      <c r="L57" s="101" t="str">
        <f t="shared" si="15"/>
        <v>Catalogue!$M$57</v>
      </c>
      <c r="M57" s="20"/>
    </row>
    <row r="58" spans="1:15" ht="110.1" customHeight="1" thickBot="1">
      <c r="E58" s="104">
        <f>SUM(E16:E57)</f>
        <v>5</v>
      </c>
      <c r="K58" s="104">
        <f>IF('Définition SHADOW SOLAR EVO'!G20="yes",SUM(K16:K57),0)</f>
        <v>0</v>
      </c>
    </row>
    <row r="59" spans="1:15" ht="23.25" customHeight="1">
      <c r="E59" s="102"/>
    </row>
    <row r="60" spans="1:15" ht="101.25" customHeight="1">
      <c r="C60" s="258" t="s">
        <v>0</v>
      </c>
      <c r="D60" s="258" t="s">
        <v>461</v>
      </c>
      <c r="E60" s="259"/>
      <c r="F60" s="259"/>
      <c r="G60" s="258" t="s">
        <v>447</v>
      </c>
      <c r="K60" s="258" t="s">
        <v>755</v>
      </c>
      <c r="L60" s="258" t="s">
        <v>464</v>
      </c>
      <c r="M60" s="258" t="s">
        <v>465</v>
      </c>
      <c r="N60" s="258" t="s">
        <v>466</v>
      </c>
      <c r="O60" s="107" t="s">
        <v>468</v>
      </c>
    </row>
    <row r="61" spans="1:15" ht="159.94999999999999" customHeight="1">
      <c r="A61" s="84"/>
      <c r="B61" s="115" t="str">
        <f>'Définition SHADOW SOLAR EVO'!G10</f>
        <v>2x2 2 Pieds</v>
      </c>
      <c r="C61" s="106" t="s">
        <v>680</v>
      </c>
      <c r="D61" s="106">
        <f>N61</f>
        <v>0</v>
      </c>
      <c r="E61" s="106" t="str">
        <f t="shared" ref="E61:E64" si="28">"Catalogue!"&amp;ADDRESS(ROW(E61),COLUMN(F61))</f>
        <v>Catalogue!$F$61</v>
      </c>
      <c r="F61" s="20"/>
      <c r="G61" s="248">
        <v>1</v>
      </c>
      <c r="K61" s="269">
        <f>'Définition SHADOW SOLAR EVO'!G29*2</f>
        <v>0</v>
      </c>
      <c r="L61" s="248">
        <f>IF($B$61=C61,IF($B$63="Yes",4,0),0)</f>
        <v>0</v>
      </c>
      <c r="M61" s="248">
        <v>0</v>
      </c>
      <c r="N61" s="249">
        <f>IF(L61&gt;0,IF(K61+L61=M61,K61+L61,0),0)</f>
        <v>0</v>
      </c>
      <c r="O61" s="117">
        <f t="shared" ref="O61:O86" si="29">IF(L61&gt;0,IF(M61&gt;0,IF(L61&lt;=M61,0,1),0),0)</f>
        <v>0</v>
      </c>
    </row>
    <row r="62" spans="1:15" ht="159.94999999999999" customHeight="1">
      <c r="A62" s="84"/>
      <c r="B62" s="101"/>
      <c r="C62" s="106" t="s">
        <v>680</v>
      </c>
      <c r="D62" s="106">
        <f>N62</f>
        <v>0</v>
      </c>
      <c r="E62" s="106" t="str">
        <f t="shared" si="28"/>
        <v>Catalogue!$F$62</v>
      </c>
      <c r="F62" s="20"/>
      <c r="G62" s="248">
        <f>G61+1</f>
        <v>2</v>
      </c>
      <c r="K62" s="269">
        <f>K61</f>
        <v>0</v>
      </c>
      <c r="L62" s="248">
        <f t="shared" ref="L62:L86" si="30">IF($B$61=C62,IF($B$63="Yes",4,0),0)</f>
        <v>0</v>
      </c>
      <c r="M62" s="248">
        <v>4</v>
      </c>
      <c r="N62" s="249">
        <f t="shared" ref="N62:N86" si="31">IF(L62&gt;0,IF(K62+L62=M62,K62+L62,0),0)</f>
        <v>0</v>
      </c>
      <c r="O62" s="117">
        <f t="shared" si="29"/>
        <v>0</v>
      </c>
    </row>
    <row r="63" spans="1:15" ht="159.94999999999999" customHeight="1">
      <c r="A63" s="113" t="s">
        <v>460</v>
      </c>
      <c r="B63" s="115" t="str">
        <f>'Définition SHADOW SOLAR EVO'!G28</f>
        <v>No</v>
      </c>
      <c r="C63" s="108" t="s">
        <v>681</v>
      </c>
      <c r="D63" s="108">
        <f t="shared" ref="D63:D75" si="32">N63</f>
        <v>0</v>
      </c>
      <c r="E63" s="108" t="str">
        <f t="shared" si="28"/>
        <v>Catalogue!$F$63</v>
      </c>
      <c r="F63" s="20"/>
      <c r="G63" s="248">
        <f t="shared" ref="G63:G87" si="33">G62+1</f>
        <v>3</v>
      </c>
      <c r="K63" s="269">
        <f t="shared" ref="K63:K86" si="34">K62</f>
        <v>0</v>
      </c>
      <c r="L63" s="248">
        <f t="shared" si="30"/>
        <v>0</v>
      </c>
      <c r="M63" s="250">
        <v>0</v>
      </c>
      <c r="N63" s="249">
        <f t="shared" si="31"/>
        <v>0</v>
      </c>
      <c r="O63" s="117">
        <f t="shared" si="29"/>
        <v>0</v>
      </c>
    </row>
    <row r="64" spans="1:15" ht="159.94999999999999" customHeight="1">
      <c r="A64" s="84"/>
      <c r="B64" s="101"/>
      <c r="C64" s="108" t="s">
        <v>681</v>
      </c>
      <c r="D64" s="108">
        <f t="shared" ref="D64" si="35">N64</f>
        <v>0</v>
      </c>
      <c r="E64" s="108" t="str">
        <f t="shared" si="28"/>
        <v>Catalogue!$F$64</v>
      </c>
      <c r="F64" s="20"/>
      <c r="G64" s="248">
        <f t="shared" si="33"/>
        <v>4</v>
      </c>
      <c r="K64" s="269">
        <f t="shared" si="34"/>
        <v>0</v>
      </c>
      <c r="L64" s="248">
        <f t="shared" si="30"/>
        <v>0</v>
      </c>
      <c r="M64" s="250">
        <v>4</v>
      </c>
      <c r="N64" s="249">
        <f t="shared" si="31"/>
        <v>0</v>
      </c>
      <c r="O64" s="117">
        <f t="shared" si="29"/>
        <v>0</v>
      </c>
    </row>
    <row r="65" spans="1:15" ht="159.94999999999999" customHeight="1">
      <c r="A65" s="113" t="s">
        <v>462</v>
      </c>
      <c r="B65" s="115">
        <f>'Définition SHADOW SOLAR EVO'!G29</f>
        <v>0</v>
      </c>
      <c r="C65" s="110" t="s">
        <v>683</v>
      </c>
      <c r="D65" s="110">
        <f t="shared" si="32"/>
        <v>0</v>
      </c>
      <c r="E65" s="110" t="str">
        <f t="shared" ref="E65:E75" si="36">"Catalogue!"&amp;ADDRESS(ROW(E65),COLUMN(F65))</f>
        <v>Catalogue!$F$65</v>
      </c>
      <c r="F65" s="20"/>
      <c r="G65" s="248">
        <f t="shared" si="33"/>
        <v>5</v>
      </c>
      <c r="K65" s="269">
        <f t="shared" si="34"/>
        <v>0</v>
      </c>
      <c r="L65" s="248">
        <f t="shared" si="30"/>
        <v>0</v>
      </c>
      <c r="M65" s="251">
        <v>0</v>
      </c>
      <c r="N65" s="249">
        <f t="shared" si="31"/>
        <v>0</v>
      </c>
      <c r="O65" s="117">
        <f t="shared" si="29"/>
        <v>0</v>
      </c>
    </row>
    <row r="66" spans="1:15" ht="159.94999999999999" customHeight="1">
      <c r="A66" s="84" t="s">
        <v>463</v>
      </c>
      <c r="B66" s="114">
        <f>'Définition SHADOW SOLAR EVO'!G27</f>
        <v>0</v>
      </c>
      <c r="C66" s="110" t="s">
        <v>683</v>
      </c>
      <c r="D66" s="110">
        <f t="shared" ref="D66" si="37">N66</f>
        <v>0</v>
      </c>
      <c r="E66" s="110" t="str">
        <f t="shared" ref="E66" si="38">"Catalogue!"&amp;ADDRESS(ROW(E66),COLUMN(F66))</f>
        <v>Catalogue!$F$66</v>
      </c>
      <c r="F66" s="20"/>
      <c r="G66" s="248">
        <f t="shared" si="33"/>
        <v>6</v>
      </c>
      <c r="K66" s="269">
        <f t="shared" si="34"/>
        <v>0</v>
      </c>
      <c r="L66" s="248">
        <f t="shared" si="30"/>
        <v>0</v>
      </c>
      <c r="M66" s="251">
        <v>4</v>
      </c>
      <c r="N66" s="249">
        <f t="shared" si="31"/>
        <v>0</v>
      </c>
      <c r="O66" s="117">
        <f t="shared" si="29"/>
        <v>0</v>
      </c>
    </row>
    <row r="67" spans="1:15" ht="159.94999999999999" customHeight="1">
      <c r="C67" s="111" t="s">
        <v>682</v>
      </c>
      <c r="D67" s="111">
        <f t="shared" si="32"/>
        <v>0</v>
      </c>
      <c r="E67" s="111" t="str">
        <f t="shared" ref="E67" si="39">"Catalogue!"&amp;ADDRESS(ROW(E67),COLUMN(F67))</f>
        <v>Catalogue!$F$67</v>
      </c>
      <c r="F67" s="295"/>
      <c r="G67" s="248">
        <f t="shared" si="33"/>
        <v>7</v>
      </c>
      <c r="K67" s="269">
        <f t="shared" si="34"/>
        <v>0</v>
      </c>
      <c r="L67" s="248">
        <f t="shared" si="30"/>
        <v>0</v>
      </c>
      <c r="M67" s="252">
        <v>0</v>
      </c>
      <c r="N67" s="249">
        <f t="shared" si="31"/>
        <v>0</v>
      </c>
      <c r="O67" s="117">
        <f t="shared" si="29"/>
        <v>0</v>
      </c>
    </row>
    <row r="68" spans="1:15" ht="159.94999999999999" customHeight="1">
      <c r="C68" s="111" t="s">
        <v>682</v>
      </c>
      <c r="D68" s="111">
        <f t="shared" si="32"/>
        <v>0</v>
      </c>
      <c r="E68" s="111" t="str">
        <f t="shared" ref="E68" si="40">"Catalogue!"&amp;ADDRESS(ROW(E68),COLUMN(F68))</f>
        <v>Catalogue!$F$68</v>
      </c>
      <c r="F68" s="295"/>
      <c r="G68" s="248">
        <f t="shared" si="33"/>
        <v>8</v>
      </c>
      <c r="K68" s="269">
        <f t="shared" si="34"/>
        <v>0</v>
      </c>
      <c r="L68" s="248">
        <f t="shared" si="30"/>
        <v>0</v>
      </c>
      <c r="M68" s="252">
        <v>4</v>
      </c>
      <c r="N68" s="249">
        <f t="shared" si="31"/>
        <v>0</v>
      </c>
      <c r="O68" s="117">
        <f t="shared" si="29"/>
        <v>0</v>
      </c>
    </row>
    <row r="69" spans="1:15" ht="159.94999999999999" customHeight="1">
      <c r="C69" s="112" t="s">
        <v>684</v>
      </c>
      <c r="D69" s="112">
        <f t="shared" si="32"/>
        <v>0</v>
      </c>
      <c r="E69" s="112" t="str">
        <f t="shared" si="36"/>
        <v>Catalogue!$F$69</v>
      </c>
      <c r="F69" s="295"/>
      <c r="G69" s="248">
        <f t="shared" si="33"/>
        <v>9</v>
      </c>
      <c r="K69" s="269">
        <f t="shared" si="34"/>
        <v>0</v>
      </c>
      <c r="L69" s="248">
        <f t="shared" si="30"/>
        <v>0</v>
      </c>
      <c r="M69" s="253">
        <v>0</v>
      </c>
      <c r="N69" s="249">
        <f t="shared" si="31"/>
        <v>0</v>
      </c>
      <c r="O69" s="117">
        <f t="shared" si="29"/>
        <v>0</v>
      </c>
    </row>
    <row r="70" spans="1:15" ht="159.94999999999999" customHeight="1">
      <c r="C70" s="112" t="s">
        <v>684</v>
      </c>
      <c r="D70" s="112">
        <f t="shared" ref="D70:D71" si="41">N70</f>
        <v>0</v>
      </c>
      <c r="E70" s="112" t="str">
        <f t="shared" ref="E70:E71" si="42">"Catalogue!"&amp;ADDRESS(ROW(E70),COLUMN(F70))</f>
        <v>Catalogue!$F$70</v>
      </c>
      <c r="F70" s="295"/>
      <c r="G70" s="248">
        <f t="shared" si="33"/>
        <v>10</v>
      </c>
      <c r="K70" s="269">
        <f t="shared" si="34"/>
        <v>0</v>
      </c>
      <c r="L70" s="248">
        <f t="shared" si="30"/>
        <v>0</v>
      </c>
      <c r="M70" s="253">
        <v>4</v>
      </c>
      <c r="N70" s="249">
        <f t="shared" si="31"/>
        <v>0</v>
      </c>
      <c r="O70" s="117">
        <f t="shared" si="29"/>
        <v>0</v>
      </c>
    </row>
    <row r="71" spans="1:15" ht="159.94999999999999" customHeight="1">
      <c r="C71" s="112" t="s">
        <v>684</v>
      </c>
      <c r="D71" s="112">
        <f t="shared" si="41"/>
        <v>0</v>
      </c>
      <c r="E71" s="112" t="str">
        <f t="shared" si="42"/>
        <v>Catalogue!$F$71</v>
      </c>
      <c r="F71" s="295"/>
      <c r="G71" s="248">
        <f t="shared" si="33"/>
        <v>11</v>
      </c>
      <c r="K71" s="269">
        <f t="shared" si="34"/>
        <v>0</v>
      </c>
      <c r="L71" s="248">
        <f t="shared" si="30"/>
        <v>0</v>
      </c>
      <c r="M71" s="253">
        <v>8</v>
      </c>
      <c r="N71" s="249">
        <f t="shared" si="31"/>
        <v>0</v>
      </c>
      <c r="O71" s="117">
        <f t="shared" si="29"/>
        <v>0</v>
      </c>
    </row>
    <row r="72" spans="1:15" ht="159.94999999999999" customHeight="1">
      <c r="C72" s="109" t="s">
        <v>685</v>
      </c>
      <c r="D72" s="109">
        <f t="shared" si="32"/>
        <v>0</v>
      </c>
      <c r="E72" s="109" t="str">
        <f t="shared" si="36"/>
        <v>Catalogue!$F$72</v>
      </c>
      <c r="F72" s="295"/>
      <c r="G72" s="248">
        <f t="shared" si="33"/>
        <v>12</v>
      </c>
      <c r="K72" s="269">
        <f t="shared" si="34"/>
        <v>0</v>
      </c>
      <c r="L72" s="248">
        <f t="shared" si="30"/>
        <v>0</v>
      </c>
      <c r="M72" s="254">
        <v>0</v>
      </c>
      <c r="N72" s="249">
        <f t="shared" si="31"/>
        <v>0</v>
      </c>
      <c r="O72" s="117">
        <f t="shared" si="29"/>
        <v>0</v>
      </c>
    </row>
    <row r="73" spans="1:15" ht="159.94999999999999" customHeight="1">
      <c r="C73" s="109" t="s">
        <v>685</v>
      </c>
      <c r="D73" s="109">
        <f t="shared" ref="D73:D74" si="43">N73</f>
        <v>0</v>
      </c>
      <c r="E73" s="109" t="str">
        <f t="shared" ref="E73:E74" si="44">"Catalogue!"&amp;ADDRESS(ROW(E73),COLUMN(F73))</f>
        <v>Catalogue!$F$73</v>
      </c>
      <c r="F73" s="295"/>
      <c r="G73" s="248">
        <f t="shared" si="33"/>
        <v>13</v>
      </c>
      <c r="K73" s="269">
        <f t="shared" si="34"/>
        <v>0</v>
      </c>
      <c r="L73" s="248">
        <f t="shared" si="30"/>
        <v>0</v>
      </c>
      <c r="M73" s="254">
        <v>4</v>
      </c>
      <c r="N73" s="249">
        <f t="shared" si="31"/>
        <v>0</v>
      </c>
      <c r="O73" s="117">
        <f t="shared" si="29"/>
        <v>0</v>
      </c>
    </row>
    <row r="74" spans="1:15" ht="159.94999999999999" customHeight="1">
      <c r="C74" s="109" t="s">
        <v>685</v>
      </c>
      <c r="D74" s="109">
        <f t="shared" si="43"/>
        <v>0</v>
      </c>
      <c r="E74" s="109" t="str">
        <f t="shared" si="44"/>
        <v>Catalogue!$F$74</v>
      </c>
      <c r="F74" s="295"/>
      <c r="G74" s="248">
        <f t="shared" si="33"/>
        <v>14</v>
      </c>
      <c r="K74" s="269">
        <f t="shared" si="34"/>
        <v>0</v>
      </c>
      <c r="L74" s="248">
        <f t="shared" si="30"/>
        <v>0</v>
      </c>
      <c r="M74" s="254">
        <v>8</v>
      </c>
      <c r="N74" s="249">
        <f t="shared" si="31"/>
        <v>0</v>
      </c>
      <c r="O74" s="117">
        <f t="shared" si="29"/>
        <v>0</v>
      </c>
    </row>
    <row r="75" spans="1:15" ht="159.94999999999999" customHeight="1">
      <c r="C75" s="108" t="s">
        <v>687</v>
      </c>
      <c r="D75" s="108">
        <f t="shared" si="32"/>
        <v>0</v>
      </c>
      <c r="E75" s="108" t="str">
        <f t="shared" si="36"/>
        <v>Catalogue!$F$75</v>
      </c>
      <c r="F75" s="20"/>
      <c r="G75" s="248">
        <f t="shared" si="33"/>
        <v>15</v>
      </c>
      <c r="K75" s="269">
        <f t="shared" si="34"/>
        <v>0</v>
      </c>
      <c r="L75" s="248">
        <f t="shared" si="30"/>
        <v>0</v>
      </c>
      <c r="M75" s="250">
        <v>0</v>
      </c>
      <c r="N75" s="249">
        <f t="shared" si="31"/>
        <v>0</v>
      </c>
      <c r="O75" s="117">
        <f t="shared" si="29"/>
        <v>0</v>
      </c>
    </row>
    <row r="76" spans="1:15" ht="159.94999999999999" customHeight="1">
      <c r="C76" s="108" t="s">
        <v>687</v>
      </c>
      <c r="D76" s="108">
        <f t="shared" ref="D76:D77" si="45">N76</f>
        <v>0</v>
      </c>
      <c r="E76" s="108" t="str">
        <f t="shared" ref="E76:E77" si="46">"Catalogue!"&amp;ADDRESS(ROW(E76),COLUMN(F76))</f>
        <v>Catalogue!$F$76</v>
      </c>
      <c r="F76" s="20"/>
      <c r="G76" s="248">
        <f t="shared" si="33"/>
        <v>16</v>
      </c>
      <c r="K76" s="269">
        <f t="shared" si="34"/>
        <v>0</v>
      </c>
      <c r="L76" s="248">
        <f t="shared" si="30"/>
        <v>0</v>
      </c>
      <c r="M76" s="250">
        <v>4</v>
      </c>
      <c r="N76" s="249">
        <f t="shared" si="31"/>
        <v>0</v>
      </c>
      <c r="O76" s="117">
        <f t="shared" si="29"/>
        <v>0</v>
      </c>
    </row>
    <row r="77" spans="1:15" ht="159.94999999999999" customHeight="1">
      <c r="C77" s="108" t="s">
        <v>687</v>
      </c>
      <c r="D77" s="108">
        <f t="shared" si="45"/>
        <v>0</v>
      </c>
      <c r="E77" s="108" t="str">
        <f t="shared" si="46"/>
        <v>Catalogue!$F$77</v>
      </c>
      <c r="F77" s="20"/>
      <c r="G77" s="248">
        <f t="shared" si="33"/>
        <v>17</v>
      </c>
      <c r="K77" s="269">
        <f t="shared" si="34"/>
        <v>0</v>
      </c>
      <c r="L77" s="248">
        <f t="shared" si="30"/>
        <v>0</v>
      </c>
      <c r="M77" s="250">
        <v>6</v>
      </c>
      <c r="N77" s="249">
        <f t="shared" si="31"/>
        <v>0</v>
      </c>
      <c r="O77" s="117">
        <f t="shared" si="29"/>
        <v>0</v>
      </c>
    </row>
    <row r="78" spans="1:15" ht="159.94999999999999" customHeight="1">
      <c r="C78" s="106" t="s">
        <v>686</v>
      </c>
      <c r="D78" s="106">
        <f t="shared" ref="D78" si="47">N78</f>
        <v>0</v>
      </c>
      <c r="E78" s="106" t="str">
        <f t="shared" ref="E78:E87" si="48">"Catalogue!"&amp;ADDRESS(ROW(E78),COLUMN(F78))</f>
        <v>Catalogue!$F$78</v>
      </c>
      <c r="F78" s="20"/>
      <c r="G78" s="248">
        <f t="shared" si="33"/>
        <v>18</v>
      </c>
      <c r="K78" s="269">
        <f t="shared" si="34"/>
        <v>0</v>
      </c>
      <c r="L78" s="248">
        <f t="shared" si="30"/>
        <v>0</v>
      </c>
      <c r="M78" s="248">
        <v>0</v>
      </c>
      <c r="N78" s="249">
        <f t="shared" si="31"/>
        <v>0</v>
      </c>
      <c r="O78" s="117">
        <f t="shared" si="29"/>
        <v>0</v>
      </c>
    </row>
    <row r="79" spans="1:15" ht="159.94999999999999" customHeight="1">
      <c r="C79" s="106" t="s">
        <v>686</v>
      </c>
      <c r="D79" s="106">
        <f t="shared" ref="D79:D80" si="49">N79</f>
        <v>0</v>
      </c>
      <c r="E79" s="106" t="str">
        <f t="shared" ref="E79:E80" si="50">"Catalogue!"&amp;ADDRESS(ROW(E79),COLUMN(F79))</f>
        <v>Catalogue!$F$79</v>
      </c>
      <c r="F79" s="20"/>
      <c r="G79" s="248">
        <f t="shared" si="33"/>
        <v>19</v>
      </c>
      <c r="K79" s="269">
        <f t="shared" si="34"/>
        <v>0</v>
      </c>
      <c r="L79" s="248">
        <f t="shared" si="30"/>
        <v>0</v>
      </c>
      <c r="M79" s="248">
        <v>4</v>
      </c>
      <c r="N79" s="249">
        <f t="shared" si="31"/>
        <v>0</v>
      </c>
      <c r="O79" s="117">
        <f t="shared" si="29"/>
        <v>0</v>
      </c>
    </row>
    <row r="80" spans="1:15" ht="159.94999999999999" customHeight="1">
      <c r="C80" s="106" t="s">
        <v>686</v>
      </c>
      <c r="D80" s="106">
        <f t="shared" si="49"/>
        <v>0</v>
      </c>
      <c r="E80" s="106" t="str">
        <f t="shared" si="50"/>
        <v>Catalogue!$F$80</v>
      </c>
      <c r="F80" s="20"/>
      <c r="G80" s="248">
        <f t="shared" si="33"/>
        <v>20</v>
      </c>
      <c r="K80" s="269">
        <f t="shared" si="34"/>
        <v>0</v>
      </c>
      <c r="L80" s="248">
        <f t="shared" si="30"/>
        <v>0</v>
      </c>
      <c r="M80" s="248">
        <v>6</v>
      </c>
      <c r="N80" s="249">
        <f t="shared" si="31"/>
        <v>0</v>
      </c>
      <c r="O80" s="117">
        <f t="shared" si="29"/>
        <v>0</v>
      </c>
    </row>
    <row r="81" spans="1:15" ht="159.94999999999999" customHeight="1">
      <c r="C81" s="109" t="s">
        <v>688</v>
      </c>
      <c r="D81" s="109">
        <f t="shared" ref="D81" si="51">N81</f>
        <v>0</v>
      </c>
      <c r="E81" s="109" t="str">
        <f t="shared" ref="E81" si="52">"Catalogue!"&amp;ADDRESS(ROW(E81),COLUMN(F81))</f>
        <v>Catalogue!$F$81</v>
      </c>
      <c r="F81" s="20"/>
      <c r="G81" s="248">
        <f t="shared" si="33"/>
        <v>21</v>
      </c>
      <c r="K81" s="269">
        <f t="shared" si="34"/>
        <v>0</v>
      </c>
      <c r="L81" s="248">
        <f t="shared" si="30"/>
        <v>0</v>
      </c>
      <c r="M81" s="254">
        <v>0</v>
      </c>
      <c r="N81" s="249">
        <f t="shared" si="31"/>
        <v>0</v>
      </c>
      <c r="O81" s="117">
        <f t="shared" si="29"/>
        <v>0</v>
      </c>
    </row>
    <row r="82" spans="1:15" ht="159.94999999999999" customHeight="1">
      <c r="C82" s="109" t="s">
        <v>688</v>
      </c>
      <c r="D82" s="109">
        <f t="shared" ref="D82:D84" si="53">N82</f>
        <v>0</v>
      </c>
      <c r="E82" s="109" t="str">
        <f t="shared" ref="E82:E84" si="54">"Catalogue!"&amp;ADDRESS(ROW(E82),COLUMN(F82))</f>
        <v>Catalogue!$F$82</v>
      </c>
      <c r="F82" s="20"/>
      <c r="G82" s="248">
        <f t="shared" si="33"/>
        <v>22</v>
      </c>
      <c r="K82" s="269">
        <f t="shared" si="34"/>
        <v>0</v>
      </c>
      <c r="L82" s="248">
        <f t="shared" si="30"/>
        <v>0</v>
      </c>
      <c r="M82" s="254">
        <v>4</v>
      </c>
      <c r="N82" s="249">
        <f t="shared" si="31"/>
        <v>0</v>
      </c>
      <c r="O82" s="117">
        <f t="shared" si="29"/>
        <v>0</v>
      </c>
    </row>
    <row r="83" spans="1:15" ht="159.94999999999999" customHeight="1">
      <c r="C83" s="109" t="s">
        <v>688</v>
      </c>
      <c r="D83" s="109">
        <f t="shared" ref="D83" si="55">N83</f>
        <v>0</v>
      </c>
      <c r="E83" s="109" t="str">
        <f t="shared" ref="E83" si="56">"Catalogue!"&amp;ADDRESS(ROW(E83),COLUMN(F83))</f>
        <v>Catalogue!$F$83</v>
      </c>
      <c r="F83" s="20"/>
      <c r="G83" s="248">
        <f t="shared" si="33"/>
        <v>23</v>
      </c>
      <c r="K83" s="269">
        <f t="shared" si="34"/>
        <v>0</v>
      </c>
      <c r="L83" s="248">
        <f t="shared" si="30"/>
        <v>0</v>
      </c>
      <c r="M83" s="254">
        <v>6</v>
      </c>
      <c r="N83" s="249">
        <f t="shared" si="31"/>
        <v>0</v>
      </c>
      <c r="O83" s="117">
        <f t="shared" si="29"/>
        <v>0</v>
      </c>
    </row>
    <row r="84" spans="1:15" ht="159.94999999999999" customHeight="1">
      <c r="C84" s="110" t="s">
        <v>689</v>
      </c>
      <c r="D84" s="110">
        <f t="shared" si="53"/>
        <v>0</v>
      </c>
      <c r="E84" s="110" t="str">
        <f t="shared" si="54"/>
        <v>Catalogue!$F$84</v>
      </c>
      <c r="F84" s="20"/>
      <c r="G84" s="248">
        <f t="shared" si="33"/>
        <v>24</v>
      </c>
      <c r="K84" s="269">
        <f t="shared" si="34"/>
        <v>0</v>
      </c>
      <c r="L84" s="248">
        <f t="shared" si="30"/>
        <v>0</v>
      </c>
      <c r="M84" s="251">
        <v>0</v>
      </c>
      <c r="N84" s="249">
        <f t="shared" si="31"/>
        <v>0</v>
      </c>
      <c r="O84" s="117">
        <f t="shared" si="29"/>
        <v>0</v>
      </c>
    </row>
    <row r="85" spans="1:15" ht="159.94999999999999" customHeight="1">
      <c r="C85" s="110" t="s">
        <v>689</v>
      </c>
      <c r="D85" s="110">
        <f t="shared" ref="D85:D86" si="57">N85</f>
        <v>0</v>
      </c>
      <c r="E85" s="110" t="str">
        <f t="shared" ref="E85:E86" si="58">"Catalogue!"&amp;ADDRESS(ROW(E85),COLUMN(F85))</f>
        <v>Catalogue!$F$85</v>
      </c>
      <c r="F85" s="20"/>
      <c r="G85" s="248">
        <f t="shared" si="33"/>
        <v>25</v>
      </c>
      <c r="K85" s="269">
        <f t="shared" si="34"/>
        <v>0</v>
      </c>
      <c r="L85" s="248">
        <f t="shared" si="30"/>
        <v>0</v>
      </c>
      <c r="M85" s="251">
        <v>4</v>
      </c>
      <c r="N85" s="249">
        <f t="shared" si="31"/>
        <v>0</v>
      </c>
      <c r="O85" s="117">
        <f t="shared" si="29"/>
        <v>0</v>
      </c>
    </row>
    <row r="86" spans="1:15" ht="159.94999999999999" customHeight="1">
      <c r="C86" s="110" t="s">
        <v>689</v>
      </c>
      <c r="D86" s="110">
        <f t="shared" si="57"/>
        <v>0</v>
      </c>
      <c r="E86" s="110" t="str">
        <f t="shared" si="58"/>
        <v>Catalogue!$F$86</v>
      </c>
      <c r="F86" s="20"/>
      <c r="G86" s="248">
        <f t="shared" si="33"/>
        <v>26</v>
      </c>
      <c r="K86" s="269">
        <f t="shared" si="34"/>
        <v>0</v>
      </c>
      <c r="L86" s="248">
        <f t="shared" si="30"/>
        <v>0</v>
      </c>
      <c r="M86" s="251">
        <v>6</v>
      </c>
      <c r="N86" s="249">
        <f t="shared" si="31"/>
        <v>0</v>
      </c>
      <c r="O86" s="117">
        <f t="shared" si="29"/>
        <v>0</v>
      </c>
    </row>
    <row r="87" spans="1:15" ht="159.94999999999999" customHeight="1" thickBot="1">
      <c r="C87" s="116" t="str">
        <f>B61</f>
        <v>2x2 2 Pieds</v>
      </c>
      <c r="D87" s="116">
        <f>IF(SUM(D61:D86)&gt;0,0,65)</f>
        <v>65</v>
      </c>
      <c r="E87" s="116" t="str">
        <f t="shared" si="48"/>
        <v>Catalogue!$F$87</v>
      </c>
      <c r="F87" s="295"/>
      <c r="G87" s="248">
        <f t="shared" si="33"/>
        <v>27</v>
      </c>
      <c r="L87" s="255">
        <f>IF($B$61=C87,IF($B$63="Yes",2*$B$65,0),0)</f>
        <v>0</v>
      </c>
      <c r="M87" s="255">
        <v>6</v>
      </c>
      <c r="N87" s="256">
        <f>O87</f>
        <v>0</v>
      </c>
      <c r="O87" s="117">
        <v>0</v>
      </c>
    </row>
    <row r="88" spans="1:15" ht="159.94999999999999" customHeight="1" thickTop="1" thickBot="1">
      <c r="D88" s="118">
        <f>IF(D89=0,65,D89)</f>
        <v>65</v>
      </c>
      <c r="G88" s="257"/>
      <c r="H88" s="257"/>
      <c r="I88" s="257"/>
      <c r="J88" s="257"/>
      <c r="K88" s="257"/>
      <c r="L88" s="257"/>
      <c r="M88" s="257"/>
      <c r="N88" s="256">
        <f>SUM(N61:N87)</f>
        <v>0</v>
      </c>
      <c r="O88" s="117">
        <f>SUM(O61:O86)</f>
        <v>0</v>
      </c>
    </row>
    <row r="89" spans="1:15" ht="159.94999999999999" customHeight="1" thickTop="1" thickBot="1">
      <c r="D89" s="118">
        <f>SUM(D61:D87)</f>
        <v>65</v>
      </c>
      <c r="F89" s="102"/>
    </row>
    <row r="90" spans="1:15" ht="9.9499999999999993" customHeight="1" thickTop="1"/>
    <row r="92" spans="1:15" ht="20.100000000000001" customHeight="1" thickBot="1">
      <c r="C92" s="265" t="s">
        <v>0</v>
      </c>
      <c r="D92" s="265" t="s">
        <v>618</v>
      </c>
      <c r="E92" s="266"/>
      <c r="F92" s="266"/>
      <c r="H92" s="265" t="s">
        <v>618</v>
      </c>
      <c r="J92" s="265" t="s">
        <v>616</v>
      </c>
      <c r="K92" s="265" t="s">
        <v>617</v>
      </c>
      <c r="L92" s="265" t="s">
        <v>613</v>
      </c>
    </row>
    <row r="93" spans="1:15" ht="159.94999999999999" customHeight="1" thickBot="1">
      <c r="B93" s="267" t="str">
        <f>'Définition SHADOW SOLAR EVO'!G10</f>
        <v>2x2 2 Pieds</v>
      </c>
      <c r="C93" s="268" t="s">
        <v>680</v>
      </c>
      <c r="D93" s="260">
        <v>1</v>
      </c>
      <c r="E93" s="101" t="str">
        <f>"Catalogue!"&amp;ADDRESS(ROW(E93),COLUMN(F93))</f>
        <v>Catalogue!$F$93</v>
      </c>
      <c r="F93" s="20"/>
      <c r="H93" s="260">
        <f t="shared" ref="H93:H122" si="59">IF(L93&gt;0,D93,0)</f>
        <v>0</v>
      </c>
      <c r="J93" s="260">
        <f t="shared" ref="J93:J123" si="60">IF($B$93=C93,1,0)</f>
        <v>1</v>
      </c>
      <c r="K93" s="260">
        <f>IF(J93=1,IF($B$94="Yes",$B$95,0),0)</f>
        <v>0</v>
      </c>
      <c r="L93" s="260">
        <f>IF(K95&gt;0,0,K93)</f>
        <v>0</v>
      </c>
    </row>
    <row r="94" spans="1:15" ht="159.94999999999999" customHeight="1" thickBot="1">
      <c r="A94" s="270" t="s">
        <v>612</v>
      </c>
      <c r="B94" s="267" t="str">
        <f>'Définition SHADOW SOLAR EVO'!G34</f>
        <v>No</v>
      </c>
      <c r="C94" s="268" t="s">
        <v>680</v>
      </c>
      <c r="D94" s="260">
        <f>D93+1</f>
        <v>2</v>
      </c>
      <c r="E94" s="101" t="str">
        <f t="shared" ref="E94:E123" si="61">"Catalogue!"&amp;ADDRESS(ROW(E94),COLUMN(F94))</f>
        <v>Catalogue!$F$94</v>
      </c>
      <c r="F94" s="20"/>
      <c r="H94" s="260">
        <f t="shared" si="59"/>
        <v>0</v>
      </c>
      <c r="J94" s="260">
        <f t="shared" si="60"/>
        <v>1</v>
      </c>
      <c r="K94" s="260">
        <f>IF(J94=1,IF($B$96="Yes",$B$97,0),0)</f>
        <v>0</v>
      </c>
      <c r="L94" s="260">
        <f>IF(K95&gt;0,0,K94)</f>
        <v>0</v>
      </c>
    </row>
    <row r="95" spans="1:15" ht="159.94999999999999" customHeight="1" thickBot="1">
      <c r="A95" s="270" t="s">
        <v>614</v>
      </c>
      <c r="B95" s="267">
        <f>'Définition SHADOW SOLAR EVO'!G35</f>
        <v>0</v>
      </c>
      <c r="C95" s="268" t="s">
        <v>680</v>
      </c>
      <c r="D95" s="260">
        <f t="shared" ref="D95:D123" si="62">D94+1</f>
        <v>3</v>
      </c>
      <c r="E95" s="101" t="str">
        <f t="shared" si="61"/>
        <v>Catalogue!$F$95</v>
      </c>
      <c r="F95" s="20"/>
      <c r="H95" s="260">
        <f t="shared" si="59"/>
        <v>0</v>
      </c>
      <c r="J95" s="260">
        <f t="shared" si="60"/>
        <v>1</v>
      </c>
      <c r="K95" s="260">
        <f>IF(J95=1,IF($B$94="Yes",IF($B$96="Yes",1,0),0),0)</f>
        <v>0</v>
      </c>
      <c r="L95" s="260">
        <f>IF(K95&gt;0,1,0)</f>
        <v>0</v>
      </c>
    </row>
    <row r="96" spans="1:15" ht="159.94999999999999" customHeight="1" thickBot="1">
      <c r="A96" s="270" t="s">
        <v>615</v>
      </c>
      <c r="B96" s="267" t="str">
        <f>'Définition SHADOW SOLAR EVO'!G36</f>
        <v>FRANCE CONTINENTALE</v>
      </c>
      <c r="C96" s="269" t="s">
        <v>681</v>
      </c>
      <c r="D96" s="260">
        <f t="shared" si="62"/>
        <v>4</v>
      </c>
      <c r="E96" s="101" t="str">
        <f t="shared" si="61"/>
        <v>Catalogue!$F$96</v>
      </c>
      <c r="F96" s="20"/>
      <c r="H96" s="260">
        <f t="shared" si="59"/>
        <v>0</v>
      </c>
      <c r="J96" s="260">
        <f t="shared" si="60"/>
        <v>0</v>
      </c>
      <c r="K96" s="260">
        <f>IF(J96=1,IF($B$94="Yes",$B$95,0),0)</f>
        <v>0</v>
      </c>
      <c r="L96" s="260">
        <f>IF(K98&gt;0,0,K96)</f>
        <v>0</v>
      </c>
    </row>
    <row r="97" spans="1:12" ht="159.94999999999999" customHeight="1" thickBot="1">
      <c r="A97" s="270" t="s">
        <v>614</v>
      </c>
      <c r="B97" s="267">
        <f>'Définition SHADOW SOLAR EVO'!G37</f>
        <v>0</v>
      </c>
      <c r="C97" s="269" t="s">
        <v>681</v>
      </c>
      <c r="D97" s="260">
        <f t="shared" si="62"/>
        <v>5</v>
      </c>
      <c r="E97" s="101" t="str">
        <f t="shared" si="61"/>
        <v>Catalogue!$F$97</v>
      </c>
      <c r="F97" s="20"/>
      <c r="H97" s="260">
        <f t="shared" si="59"/>
        <v>0</v>
      </c>
      <c r="J97" s="260">
        <f t="shared" si="60"/>
        <v>0</v>
      </c>
      <c r="K97" s="260">
        <f>IF(J97=1,IF($B$96="Yes",$B$97,0),0)</f>
        <v>0</v>
      </c>
      <c r="L97" s="260">
        <f>IF(K98&gt;0,0,K97)</f>
        <v>0</v>
      </c>
    </row>
    <row r="98" spans="1:12" ht="159.94999999999999" customHeight="1">
      <c r="C98" s="269" t="s">
        <v>681</v>
      </c>
      <c r="D98" s="260">
        <f t="shared" si="62"/>
        <v>6</v>
      </c>
      <c r="E98" s="101" t="str">
        <f t="shared" si="61"/>
        <v>Catalogue!$F$98</v>
      </c>
      <c r="F98" s="20"/>
      <c r="H98" s="260">
        <f t="shared" si="59"/>
        <v>0</v>
      </c>
      <c r="J98" s="260">
        <f t="shared" si="60"/>
        <v>0</v>
      </c>
      <c r="K98" s="260">
        <f>IF(J98=1,IF($B$94="Yes",IF($B$96="Yes",1,0),0),0)</f>
        <v>0</v>
      </c>
      <c r="L98" s="260">
        <f>IF(K98&gt;0,1,0)</f>
        <v>0</v>
      </c>
    </row>
    <row r="99" spans="1:12" ht="159.94999999999999" customHeight="1">
      <c r="C99" s="269" t="s">
        <v>683</v>
      </c>
      <c r="D99" s="260">
        <f t="shared" si="62"/>
        <v>7</v>
      </c>
      <c r="E99" s="101" t="str">
        <f t="shared" si="61"/>
        <v>Catalogue!$F$99</v>
      </c>
      <c r="F99" s="20"/>
      <c r="H99" s="260">
        <f t="shared" si="59"/>
        <v>0</v>
      </c>
      <c r="J99" s="260">
        <f t="shared" si="60"/>
        <v>0</v>
      </c>
      <c r="K99" s="260">
        <f>IF(J99=1,IF($B$94="Yes",$B$95,0),0)</f>
        <v>0</v>
      </c>
      <c r="L99" s="260">
        <f>IF(K101&gt;0,0,K99)</f>
        <v>0</v>
      </c>
    </row>
    <row r="100" spans="1:12" ht="159.94999999999999" customHeight="1">
      <c r="C100" s="269" t="s">
        <v>683</v>
      </c>
      <c r="D100" s="260">
        <f t="shared" si="62"/>
        <v>8</v>
      </c>
      <c r="E100" s="101" t="str">
        <f t="shared" si="61"/>
        <v>Catalogue!$F$100</v>
      </c>
      <c r="F100" s="20"/>
      <c r="H100" s="260">
        <f t="shared" si="59"/>
        <v>0</v>
      </c>
      <c r="J100" s="260">
        <f t="shared" si="60"/>
        <v>0</v>
      </c>
      <c r="K100" s="260">
        <f>IF(J100=1,IF($B$96="Yes",$B$97,0),0)</f>
        <v>0</v>
      </c>
      <c r="L100" s="260">
        <f>IF(K101&gt;0,0,K100)</f>
        <v>0</v>
      </c>
    </row>
    <row r="101" spans="1:12" ht="159.94999999999999" customHeight="1">
      <c r="C101" s="269" t="s">
        <v>683</v>
      </c>
      <c r="D101" s="260">
        <f t="shared" si="62"/>
        <v>9</v>
      </c>
      <c r="E101" s="101" t="str">
        <f t="shared" si="61"/>
        <v>Catalogue!$F$101</v>
      </c>
      <c r="F101" s="20"/>
      <c r="H101" s="260">
        <f t="shared" si="59"/>
        <v>0</v>
      </c>
      <c r="J101" s="260">
        <f t="shared" si="60"/>
        <v>0</v>
      </c>
      <c r="K101" s="260">
        <f>IF(J101=1,IF($B$94="Yes",IF($B$96="Yes",1,0),0),0)</f>
        <v>0</v>
      </c>
      <c r="L101" s="260">
        <f>IF(K101&gt;0,1,0)</f>
        <v>0</v>
      </c>
    </row>
    <row r="102" spans="1:12" ht="159.94999999999999" customHeight="1">
      <c r="C102" s="269" t="s">
        <v>682</v>
      </c>
      <c r="D102" s="260">
        <f t="shared" si="62"/>
        <v>10</v>
      </c>
      <c r="E102" s="101" t="str">
        <f t="shared" si="61"/>
        <v>Catalogue!$F$102</v>
      </c>
      <c r="F102" s="20"/>
      <c r="H102" s="260">
        <f t="shared" si="59"/>
        <v>0</v>
      </c>
      <c r="J102" s="260">
        <f t="shared" si="60"/>
        <v>0</v>
      </c>
      <c r="K102" s="260">
        <f>IF(J102=1,IF($B$94="Yes",$B$95,0),0)</f>
        <v>0</v>
      </c>
      <c r="L102" s="260">
        <f>IF(K104&gt;0,0,K102)</f>
        <v>0</v>
      </c>
    </row>
    <row r="103" spans="1:12" ht="159.94999999999999" customHeight="1">
      <c r="C103" s="269" t="s">
        <v>682</v>
      </c>
      <c r="D103" s="260">
        <f t="shared" si="62"/>
        <v>11</v>
      </c>
      <c r="E103" s="101" t="str">
        <f t="shared" si="61"/>
        <v>Catalogue!$F$103</v>
      </c>
      <c r="F103" s="20"/>
      <c r="H103" s="260">
        <f t="shared" si="59"/>
        <v>0</v>
      </c>
      <c r="J103" s="260">
        <f t="shared" si="60"/>
        <v>0</v>
      </c>
      <c r="K103" s="260">
        <f>IF(J103=1,IF($B$96="Yes",$B$97,0),0)</f>
        <v>0</v>
      </c>
      <c r="L103" s="260">
        <f>IF(K104&gt;0,0,K103)</f>
        <v>0</v>
      </c>
    </row>
    <row r="104" spans="1:12" ht="159.94999999999999" customHeight="1">
      <c r="C104" s="269" t="s">
        <v>682</v>
      </c>
      <c r="D104" s="260">
        <f t="shared" si="62"/>
        <v>12</v>
      </c>
      <c r="E104" s="101" t="str">
        <f t="shared" si="61"/>
        <v>Catalogue!$F$104</v>
      </c>
      <c r="F104" s="20"/>
      <c r="H104" s="260">
        <f t="shared" si="59"/>
        <v>0</v>
      </c>
      <c r="J104" s="260">
        <f t="shared" si="60"/>
        <v>0</v>
      </c>
      <c r="K104" s="260">
        <f>IF(J104=1,IF($B$94="Yes",IF($B$96="Yes",1,0),0),0)</f>
        <v>0</v>
      </c>
      <c r="L104" s="260">
        <f>IF(K104&gt;0,1,0)</f>
        <v>0</v>
      </c>
    </row>
    <row r="105" spans="1:12" ht="159.94999999999999" customHeight="1">
      <c r="C105" s="269" t="s">
        <v>684</v>
      </c>
      <c r="D105" s="260">
        <f t="shared" si="62"/>
        <v>13</v>
      </c>
      <c r="E105" s="101" t="str">
        <f t="shared" si="61"/>
        <v>Catalogue!$F$105</v>
      </c>
      <c r="F105" s="20"/>
      <c r="H105" s="260">
        <f t="shared" si="59"/>
        <v>0</v>
      </c>
      <c r="J105" s="260">
        <f t="shared" si="60"/>
        <v>0</v>
      </c>
      <c r="K105" s="260">
        <f>IF(J105=1,IF($B$94="Yes",$B$95,0),0)</f>
        <v>0</v>
      </c>
      <c r="L105" s="260">
        <f>IF(K107&gt;0,0,K105)</f>
        <v>0</v>
      </c>
    </row>
    <row r="106" spans="1:12" ht="159.94999999999999" customHeight="1">
      <c r="C106" s="269" t="s">
        <v>684</v>
      </c>
      <c r="D106" s="260">
        <f t="shared" si="62"/>
        <v>14</v>
      </c>
      <c r="E106" s="101" t="str">
        <f t="shared" si="61"/>
        <v>Catalogue!$F$106</v>
      </c>
      <c r="F106" s="20"/>
      <c r="H106" s="260">
        <f t="shared" si="59"/>
        <v>0</v>
      </c>
      <c r="J106" s="260">
        <f t="shared" si="60"/>
        <v>0</v>
      </c>
      <c r="K106" s="260">
        <f>IF(J106=1,IF($B$96="Yes",$B$97,0),0)</f>
        <v>0</v>
      </c>
      <c r="L106" s="260">
        <f>IF(K107&gt;0,0,K106)</f>
        <v>0</v>
      </c>
    </row>
    <row r="107" spans="1:12" ht="159.94999999999999" customHeight="1">
      <c r="C107" s="269" t="s">
        <v>684</v>
      </c>
      <c r="D107" s="260">
        <f t="shared" si="62"/>
        <v>15</v>
      </c>
      <c r="E107" s="101" t="str">
        <f t="shared" si="61"/>
        <v>Catalogue!$F$107</v>
      </c>
      <c r="F107" s="20"/>
      <c r="H107" s="260">
        <f t="shared" si="59"/>
        <v>0</v>
      </c>
      <c r="J107" s="260">
        <f t="shared" si="60"/>
        <v>0</v>
      </c>
      <c r="K107" s="260">
        <f>IF(J107=1,IF($B$94="Yes",IF($B$96="Yes",1,0),0),0)</f>
        <v>0</v>
      </c>
      <c r="L107" s="260">
        <f>IF(K107&gt;0,1,0)</f>
        <v>0</v>
      </c>
    </row>
    <row r="108" spans="1:12" ht="159.94999999999999" customHeight="1">
      <c r="C108" s="269" t="s">
        <v>685</v>
      </c>
      <c r="D108" s="260">
        <f t="shared" si="62"/>
        <v>16</v>
      </c>
      <c r="E108" s="101" t="str">
        <f t="shared" si="61"/>
        <v>Catalogue!$F$108</v>
      </c>
      <c r="F108" s="20"/>
      <c r="H108" s="260">
        <f t="shared" si="59"/>
        <v>0</v>
      </c>
      <c r="J108" s="260">
        <f t="shared" si="60"/>
        <v>0</v>
      </c>
      <c r="K108" s="260">
        <f>IF(J108=1,IF($B$94="Yes",$B$95,0),0)</f>
        <v>0</v>
      </c>
      <c r="L108" s="260">
        <f>IF(K110&gt;0,0,K108)</f>
        <v>0</v>
      </c>
    </row>
    <row r="109" spans="1:12" ht="159.94999999999999" customHeight="1">
      <c r="C109" s="269" t="s">
        <v>685</v>
      </c>
      <c r="D109" s="260">
        <f t="shared" si="62"/>
        <v>17</v>
      </c>
      <c r="E109" s="101" t="str">
        <f t="shared" si="61"/>
        <v>Catalogue!$F$109</v>
      </c>
      <c r="F109" s="20"/>
      <c r="H109" s="260">
        <f t="shared" si="59"/>
        <v>0</v>
      </c>
      <c r="J109" s="260">
        <f t="shared" si="60"/>
        <v>0</v>
      </c>
      <c r="K109" s="260">
        <f>IF(J109=1,IF($B$96="Yes",$B$97,0),0)</f>
        <v>0</v>
      </c>
      <c r="L109" s="260">
        <f>IF(K110&gt;0,0,K109)</f>
        <v>0</v>
      </c>
    </row>
    <row r="110" spans="1:12" ht="159.94999999999999" customHeight="1">
      <c r="C110" s="269" t="s">
        <v>685</v>
      </c>
      <c r="D110" s="260">
        <f t="shared" si="62"/>
        <v>18</v>
      </c>
      <c r="E110" s="101" t="str">
        <f t="shared" si="61"/>
        <v>Catalogue!$F$110</v>
      </c>
      <c r="F110" s="20"/>
      <c r="H110" s="260">
        <f t="shared" si="59"/>
        <v>0</v>
      </c>
      <c r="J110" s="260">
        <f t="shared" si="60"/>
        <v>0</v>
      </c>
      <c r="K110" s="260">
        <f>IF(J110=1,IF($B$94="Yes",IF($B$96="Yes",1,0),0),0)</f>
        <v>0</v>
      </c>
      <c r="L110" s="260">
        <f>IF(K110&gt;0,1,0)</f>
        <v>0</v>
      </c>
    </row>
    <row r="111" spans="1:12" ht="159.94999999999999" customHeight="1">
      <c r="C111" s="269" t="s">
        <v>687</v>
      </c>
      <c r="D111" s="260">
        <f t="shared" si="62"/>
        <v>19</v>
      </c>
      <c r="E111" s="101" t="str">
        <f t="shared" si="61"/>
        <v>Catalogue!$F$111</v>
      </c>
      <c r="F111" s="20"/>
      <c r="H111" s="260">
        <f t="shared" si="59"/>
        <v>0</v>
      </c>
      <c r="J111" s="260">
        <f t="shared" si="60"/>
        <v>0</v>
      </c>
      <c r="K111" s="260">
        <f>IF(J111=1,IF($B$94="Yes",$B$95,0),0)</f>
        <v>0</v>
      </c>
      <c r="L111" s="260">
        <f>IF(K113&gt;0,0,K111)</f>
        <v>0</v>
      </c>
    </row>
    <row r="112" spans="1:12" ht="159.94999999999999" customHeight="1">
      <c r="C112" s="269" t="s">
        <v>687</v>
      </c>
      <c r="D112" s="260">
        <f t="shared" si="62"/>
        <v>20</v>
      </c>
      <c r="E112" s="101" t="str">
        <f t="shared" si="61"/>
        <v>Catalogue!$F$112</v>
      </c>
      <c r="F112" s="20"/>
      <c r="H112" s="260">
        <f t="shared" si="59"/>
        <v>0</v>
      </c>
      <c r="J112" s="260">
        <f t="shared" si="60"/>
        <v>0</v>
      </c>
      <c r="K112" s="260">
        <f>IF(J112=1,IF($B$96="Yes",$B$97,0),0)</f>
        <v>0</v>
      </c>
      <c r="L112" s="260">
        <f>IF(K113&gt;0,0,K112)</f>
        <v>0</v>
      </c>
    </row>
    <row r="113" spans="3:12" ht="159.94999999999999" customHeight="1">
      <c r="C113" s="269" t="s">
        <v>687</v>
      </c>
      <c r="D113" s="260">
        <f t="shared" si="62"/>
        <v>21</v>
      </c>
      <c r="E113" s="101" t="str">
        <f t="shared" si="61"/>
        <v>Catalogue!$F$113</v>
      </c>
      <c r="F113" s="20"/>
      <c r="H113" s="260">
        <f t="shared" si="59"/>
        <v>0</v>
      </c>
      <c r="J113" s="260">
        <f t="shared" si="60"/>
        <v>0</v>
      </c>
      <c r="K113" s="260">
        <f>IF(J113=1,IF($B$94="Yes",IF($B$96="Yes",1,0),0),0)</f>
        <v>0</v>
      </c>
      <c r="L113" s="260">
        <f>IF(K113&gt;0,1,0)</f>
        <v>0</v>
      </c>
    </row>
    <row r="114" spans="3:12" ht="159.94999999999999" customHeight="1">
      <c r="C114" s="269" t="s">
        <v>686</v>
      </c>
      <c r="D114" s="260">
        <f t="shared" si="62"/>
        <v>22</v>
      </c>
      <c r="E114" s="101" t="str">
        <f t="shared" si="61"/>
        <v>Catalogue!$F$114</v>
      </c>
      <c r="F114" s="20"/>
      <c r="H114" s="260">
        <f t="shared" si="59"/>
        <v>0</v>
      </c>
      <c r="J114" s="260">
        <f t="shared" si="60"/>
        <v>0</v>
      </c>
      <c r="K114" s="260">
        <f>IF(J114=1,IF($B$94="Yes",$B$95,0),0)</f>
        <v>0</v>
      </c>
      <c r="L114" s="260">
        <f>IF(K116&gt;0,0,K114)</f>
        <v>0</v>
      </c>
    </row>
    <row r="115" spans="3:12" ht="159.94999999999999" customHeight="1">
      <c r="C115" s="269" t="s">
        <v>686</v>
      </c>
      <c r="D115" s="260">
        <f t="shared" si="62"/>
        <v>23</v>
      </c>
      <c r="E115" s="101" t="str">
        <f t="shared" si="61"/>
        <v>Catalogue!$F$115</v>
      </c>
      <c r="F115" s="20"/>
      <c r="H115" s="260">
        <f t="shared" si="59"/>
        <v>0</v>
      </c>
      <c r="J115" s="260">
        <f t="shared" si="60"/>
        <v>0</v>
      </c>
      <c r="K115" s="260">
        <f>IF(J115=1,IF($B$96="Yes",$B$97,0),0)</f>
        <v>0</v>
      </c>
      <c r="L115" s="260">
        <f>IF(K116&gt;0,0,K115)</f>
        <v>0</v>
      </c>
    </row>
    <row r="116" spans="3:12" ht="159.94999999999999" customHeight="1">
      <c r="C116" s="269" t="s">
        <v>686</v>
      </c>
      <c r="D116" s="260">
        <f t="shared" si="62"/>
        <v>24</v>
      </c>
      <c r="E116" s="101" t="str">
        <f t="shared" si="61"/>
        <v>Catalogue!$F$116</v>
      </c>
      <c r="F116" s="20"/>
      <c r="H116" s="260">
        <f t="shared" si="59"/>
        <v>0</v>
      </c>
      <c r="J116" s="260">
        <f t="shared" si="60"/>
        <v>0</v>
      </c>
      <c r="K116" s="260">
        <f>IF(J116=1,IF($B$94="Yes",IF($B$96="Yes",1,0),0),0)</f>
        <v>0</v>
      </c>
      <c r="L116" s="260">
        <f>IF(K116&gt;0,1,0)</f>
        <v>0</v>
      </c>
    </row>
    <row r="117" spans="3:12" ht="159.94999999999999" customHeight="1">
      <c r="C117" s="269" t="s">
        <v>688</v>
      </c>
      <c r="D117" s="260">
        <f t="shared" si="62"/>
        <v>25</v>
      </c>
      <c r="E117" s="101" t="str">
        <f t="shared" si="61"/>
        <v>Catalogue!$F$117</v>
      </c>
      <c r="F117" s="20"/>
      <c r="H117" s="260">
        <f t="shared" si="59"/>
        <v>0</v>
      </c>
      <c r="J117" s="260">
        <f t="shared" si="60"/>
        <v>0</v>
      </c>
      <c r="K117" s="260">
        <f>IF(J117=1,IF($B$94="Yes",$B$95,0),0)</f>
        <v>0</v>
      </c>
      <c r="L117" s="260">
        <f>IF(K119&gt;0,0,K117)</f>
        <v>0</v>
      </c>
    </row>
    <row r="118" spans="3:12" ht="159.94999999999999" customHeight="1">
      <c r="C118" s="269" t="s">
        <v>688</v>
      </c>
      <c r="D118" s="260">
        <f t="shared" si="62"/>
        <v>26</v>
      </c>
      <c r="E118" s="101" t="str">
        <f t="shared" si="61"/>
        <v>Catalogue!$F$118</v>
      </c>
      <c r="F118" s="20"/>
      <c r="H118" s="260">
        <f t="shared" si="59"/>
        <v>0</v>
      </c>
      <c r="J118" s="260">
        <f t="shared" si="60"/>
        <v>0</v>
      </c>
      <c r="K118" s="260">
        <f>IF(J118=1,IF($B$96="Yes",$B$97,0),0)</f>
        <v>0</v>
      </c>
      <c r="L118" s="260">
        <f>IF(K119&gt;0,0,K118)</f>
        <v>0</v>
      </c>
    </row>
    <row r="119" spans="3:12" ht="159.94999999999999" customHeight="1">
      <c r="C119" s="269" t="s">
        <v>688</v>
      </c>
      <c r="D119" s="260">
        <f t="shared" si="62"/>
        <v>27</v>
      </c>
      <c r="E119" s="101" t="str">
        <f t="shared" si="61"/>
        <v>Catalogue!$F$119</v>
      </c>
      <c r="F119" s="20"/>
      <c r="H119" s="260">
        <f t="shared" si="59"/>
        <v>0</v>
      </c>
      <c r="J119" s="260">
        <f t="shared" si="60"/>
        <v>0</v>
      </c>
      <c r="K119" s="260">
        <f>IF(J119=1,IF($B$94="Yes",IF($B$96="Yes",1,0),0),0)</f>
        <v>0</v>
      </c>
      <c r="L119" s="260">
        <f>IF(K119&gt;0,1,0)</f>
        <v>0</v>
      </c>
    </row>
    <row r="120" spans="3:12" ht="159.94999999999999" customHeight="1">
      <c r="C120" s="269" t="s">
        <v>689</v>
      </c>
      <c r="D120" s="260">
        <f t="shared" si="62"/>
        <v>28</v>
      </c>
      <c r="E120" s="101" t="str">
        <f t="shared" si="61"/>
        <v>Catalogue!$F$120</v>
      </c>
      <c r="F120" s="20"/>
      <c r="H120" s="260">
        <f t="shared" si="59"/>
        <v>0</v>
      </c>
      <c r="J120" s="260">
        <f t="shared" si="60"/>
        <v>0</v>
      </c>
      <c r="K120" s="260">
        <f>IF(J120=1,IF($B$94="Yes",$B$95,0),0)</f>
        <v>0</v>
      </c>
      <c r="L120" s="260">
        <f>IF(K122&gt;0,0,K120)</f>
        <v>0</v>
      </c>
    </row>
    <row r="121" spans="3:12" ht="159.94999999999999" customHeight="1">
      <c r="C121" s="269" t="s">
        <v>689</v>
      </c>
      <c r="D121" s="260">
        <f t="shared" si="62"/>
        <v>29</v>
      </c>
      <c r="E121" s="101" t="str">
        <f t="shared" si="61"/>
        <v>Catalogue!$F$121</v>
      </c>
      <c r="F121" s="20"/>
      <c r="H121" s="260">
        <f t="shared" si="59"/>
        <v>0</v>
      </c>
      <c r="J121" s="260">
        <f t="shared" si="60"/>
        <v>0</v>
      </c>
      <c r="K121" s="260">
        <f>IF(J121=1,IF($B$96="Yes",$B$97,0),0)</f>
        <v>0</v>
      </c>
      <c r="L121" s="260">
        <f>IF(K122&gt;0,0,K121)</f>
        <v>0</v>
      </c>
    </row>
    <row r="122" spans="3:12" ht="159.94999999999999" customHeight="1">
      <c r="C122" s="271" t="s">
        <v>689</v>
      </c>
      <c r="D122" s="260">
        <f t="shared" si="62"/>
        <v>30</v>
      </c>
      <c r="E122" s="101" t="str">
        <f t="shared" si="61"/>
        <v>Catalogue!$F$122</v>
      </c>
      <c r="F122" s="29"/>
      <c r="H122" s="261">
        <f t="shared" si="59"/>
        <v>0</v>
      </c>
      <c r="J122" s="261">
        <f t="shared" si="60"/>
        <v>0</v>
      </c>
      <c r="K122" s="261">
        <f>IF(J122=1,IF($B$94="Yes",IF($B$96="Yes",1,0),0),0)</f>
        <v>0</v>
      </c>
      <c r="L122" s="261">
        <f>IF(K122&gt;0,1,0)</f>
        <v>0</v>
      </c>
    </row>
    <row r="123" spans="3:12" ht="159.94999999999999" customHeight="1" thickBot="1">
      <c r="C123" s="271" t="s">
        <v>689</v>
      </c>
      <c r="D123" s="260">
        <f t="shared" si="62"/>
        <v>31</v>
      </c>
      <c r="E123" s="101" t="str">
        <f t="shared" si="61"/>
        <v>Catalogue!$F$123</v>
      </c>
      <c r="F123" s="29"/>
      <c r="H123" s="261">
        <f>IF(H125=0,31,0)</f>
        <v>31</v>
      </c>
      <c r="J123" s="261">
        <f t="shared" si="60"/>
        <v>0</v>
      </c>
      <c r="K123" s="261">
        <f>IF(J123=1,IF($B$94="Yes",IF($B$96="Yes",1,0),0),0)</f>
        <v>0</v>
      </c>
      <c r="L123" s="261">
        <f>IF(K123&gt;0,1,0)</f>
        <v>0</v>
      </c>
    </row>
    <row r="124" spans="3:12" ht="159.94999999999999" customHeight="1" thickBot="1">
      <c r="C124" s="272"/>
      <c r="D124" s="273"/>
      <c r="E124" s="273"/>
      <c r="F124" s="272"/>
      <c r="H124" s="273">
        <f>SUM(H93:H123)</f>
        <v>31</v>
      </c>
      <c r="J124" s="272"/>
      <c r="K124" s="272"/>
      <c r="L124" s="272"/>
    </row>
    <row r="125" spans="3:12" ht="159.94999999999999" customHeight="1">
      <c r="F125" s="119"/>
      <c r="H125" s="291">
        <f>SUM(H93:H122)</f>
        <v>0</v>
      </c>
    </row>
    <row r="126" spans="3:12" ht="159.94999999999999" customHeight="1"/>
    <row r="127" spans="3:12" ht="159.94999999999999" customHeight="1"/>
    <row r="128" spans="3:12" ht="159.94999999999999" customHeight="1"/>
    <row r="129" ht="159.94999999999999" customHeight="1"/>
    <row r="130" ht="159.94999999999999" customHeight="1"/>
    <row r="131" ht="159.94999999999999" customHeight="1"/>
    <row r="132" ht="159.94999999999999" customHeight="1"/>
    <row r="133" ht="159.94999999999999" customHeight="1"/>
    <row r="134" ht="159.94999999999999" customHeight="1"/>
    <row r="135" ht="159.94999999999999" customHeight="1"/>
    <row r="136" ht="159.94999999999999" customHeight="1"/>
    <row r="137" ht="159.94999999999999" customHeight="1"/>
    <row r="138" ht="159.94999999999999" customHeight="1"/>
    <row r="139" ht="159.94999999999999" customHeight="1"/>
    <row r="140" ht="159.94999999999999" customHeight="1"/>
    <row r="141" ht="159.94999999999999" customHeight="1"/>
    <row r="142" ht="159.94999999999999" customHeight="1"/>
    <row r="143" ht="159.94999999999999" customHeight="1"/>
    <row r="144" ht="159.94999999999999" customHeight="1"/>
    <row r="145" ht="159.94999999999999" customHeight="1"/>
    <row r="146" ht="159.94999999999999" customHeight="1"/>
    <row r="147" ht="159.94999999999999" customHeight="1"/>
    <row r="148" ht="159.94999999999999" customHeight="1"/>
  </sheetData>
  <customSheetViews>
    <customSheetView guid="{D8D7B009-33DC-454B-9FCD-4FE65C8432CF}" scale="90" showGridLines="0" state="hidden" topLeftCell="B1">
      <selection activeCell="C4" sqref="C4:C13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Instructions</vt:lpstr>
      <vt:lpstr>Définition SHADOW SOLAR EVO</vt:lpstr>
      <vt:lpstr>Traduction</vt:lpstr>
      <vt:lpstr>SAV</vt:lpstr>
      <vt:lpstr>Liste Module  Onduleur,..</vt:lpstr>
      <vt:lpstr>Info</vt:lpstr>
      <vt:lpstr>Catalogue</vt:lpstr>
      <vt:lpstr>'Définition SHADOW SOLAR EVO'!Zone_d_impression</vt:lpstr>
      <vt:lpstr>Instructions!Zone_d_impression</vt:lpstr>
      <vt:lpstr>SAV!Zone_d_impression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franck.reuzeau@irfts.com</dc:creator>
  <cp:lastModifiedBy>Cécile</cp:lastModifiedBy>
  <cp:lastPrinted>2020-02-03T09:54:03Z</cp:lastPrinted>
  <dcterms:created xsi:type="dcterms:W3CDTF">2014-10-16T16:32:04Z</dcterms:created>
  <dcterms:modified xsi:type="dcterms:W3CDTF">2021-06-28T08:29:54Z</dcterms:modified>
</cp:coreProperties>
</file>